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11.xml" ContentType="application/vnd.openxmlformats-officedocument.drawing+xml"/>
  <Override PartName="/xl/drawings/drawing10.xml" ContentType="application/vnd.openxmlformats-officedocument.drawing+xml"/>
  <Override PartName="/xl/drawings/drawing12.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9.xml" ContentType="application/vnd.openxmlformats-officedocument.drawing+xml"/>
  <Override PartName="/xl/drawings/drawing8.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4.xml" ContentType="application/vnd.openxmlformats-officedocument.drawing+xml"/>
  <Override PartName="/xl/worksheets/sheet1.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drawings/drawing3.xml" ContentType="application/vnd.openxmlformats-officedocument.drawing+xml"/>
  <Override PartName="/xl/drawings/drawing2.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20.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12.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1.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3.xml" ContentType="application/vnd.openxmlformats-officedocument.spreadsheetml.worksheet+xml"/>
  <Override PartName="/xl/ctrlProps/ctrlProp117.xml" ContentType="application/vnd.ms-excel.controlproperties+xml"/>
  <Override PartName="/xl/ctrlProps/ctrlProp116.xml" ContentType="application/vnd.ms-excel.controlproperties+xml"/>
  <Override PartName="/xl/comments4.xml" ContentType="application/vnd.openxmlformats-officedocument.spreadsheetml.comments+xml"/>
  <Override PartName="/xl/ctrlProps/ctrlProp118.xml" ContentType="application/vnd.ms-excel.controlproperties+xml"/>
  <Override PartName="/xl/comments1.xml" ContentType="application/vnd.openxmlformats-officedocument.spreadsheetml.comments+xml"/>
  <Override PartName="/xl/ctrlProps/ctrlProp115.xml" ContentType="application/vnd.ms-excel.controlproperties+xml"/>
  <Override PartName="/xl/ctrlProps/ctrlProp125.xml" ContentType="application/vnd.ms-excel.controlproperties+xml"/>
  <Override PartName="/xl/ctrlProps/ctrlProp120.xml" ContentType="application/vnd.ms-excel.controlproperties+xml"/>
  <Override PartName="/xl/ctrlProps/ctrlProp127.xml" ContentType="application/vnd.ms-excel.controlproperties+xml"/>
  <Override PartName="/xl/ctrlProps/ctrlProp126.xml" ContentType="application/vnd.ms-excel.controlproperties+xml"/>
  <Override PartName="/xl/ctrlProps/ctrlProp124.xml" ContentType="application/vnd.ms-excel.controlproperties+xml"/>
  <Override PartName="/xl/ctrlProps/ctrlProp123.xml" ContentType="application/vnd.ms-excel.controlproperties+xml"/>
  <Override PartName="/xl/ctrlProps/ctrlProp122.xml" ContentType="application/vnd.ms-excel.controlproperties+xml"/>
  <Override PartName="/xl/ctrlProps/ctrlProp121.xml" ContentType="application/vnd.ms-excel.controlproperties+xml"/>
  <Override PartName="/xl/ctrlProps/ctrlProp119.xml" ContentType="application/vnd.ms-excel.controlproperties+xml"/>
  <Override PartName="/xl/ctrlProps/ctrlProp99.xml" ContentType="application/vnd.ms-excel.controlproperties+xml"/>
  <Override PartName="/xl/ctrlProps/ctrlProp113.xml" ContentType="application/vnd.ms-excel.controlproperties+xml"/>
  <Override PartName="/xl/ctrlProps/ctrlProp101.xml" ContentType="application/vnd.ms-excel.controlproperties+xml"/>
  <Override PartName="/xl/ctrlProps/ctrlProp100.xml" ContentType="application/vnd.ms-excel.controlproperties+xml"/>
  <Override PartName="/xl/ctrlProps/ctrlProp98.xml" ContentType="application/vnd.ms-excel.controlproperties+xml"/>
  <Override PartName="/xl/ctrlProps/ctrlProp97.xml" ContentType="application/vnd.ms-excel.controlproperties+xml"/>
  <Override PartName="/xl/ctrlProps/ctrlProp96.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12.xml" ContentType="application/vnd.ms-excel.controlproperties+xml"/>
  <Override PartName="/xl/ctrlProps/ctrlProp111.xml" ContentType="application/vnd.ms-excel.controlproperties+xml"/>
  <Override PartName="/xl/ctrlProps/ctrlProp110.xml" ContentType="application/vnd.ms-excel.controlproperties+xml"/>
  <Override PartName="/xl/ctrlProps/ctrlProp109.xml" ContentType="application/vnd.ms-excel.controlproperties+xml"/>
  <Override PartName="/xl/ctrlProps/ctrlProp108.xml" ContentType="application/vnd.ms-excel.controlproperties+xml"/>
  <Override PartName="/xl/ctrlProps/ctrlProp107.xml" ContentType="application/vnd.ms-excel.controlproperties+xml"/>
  <Override PartName="/xl/ctrlProps/ctrlProp106.xml" ContentType="application/vnd.ms-excel.controlproperties+xml"/>
  <Override PartName="/xl/ctrlProps/ctrlProp105.xml" ContentType="application/vnd.ms-excel.controlproperties+xml"/>
  <Override PartName="/xl/ctrlProps/ctrlProp114.xml" ContentType="application/vnd.ms-excel.controlproperties+xml"/>
  <Override PartName="/xl/comments7.xml" ContentType="application/vnd.openxmlformats-officedocument.spreadsheetml.comments+xml"/>
  <Override PartName="/xl/ctrlProps/ctrlProp129.xml" ContentType="application/vnd.ms-excel.controlproperties+xml"/>
  <Override PartName="/xl/ctrlProps/ctrlProp154.xml" ContentType="application/vnd.ms-excel.controlproperties+xml"/>
  <Override PartName="/xl/ctrlProps/ctrlProp153.xml" ContentType="application/vnd.ms-excel.controlproperties+xml"/>
  <Override PartName="/xl/ctrlProps/ctrlProp152.xml" ContentType="application/vnd.ms-excel.controlproperties+xml"/>
  <Override PartName="/xl/ctrlProps/ctrlProp151.xml" ContentType="application/vnd.ms-excel.controlproperties+xml"/>
  <Override PartName="/xl/ctrlProps/ctrlProp150.xml" ContentType="application/vnd.ms-excel.controlproperties+xml"/>
  <Override PartName="/xl/ctrlProps/ctrlProp149.xml" ContentType="application/vnd.ms-excel.controlproperties+xml"/>
  <Override PartName="/xl/ctrlProps/ctrlProp148.xml" ContentType="application/vnd.ms-excel.controlproperties+xml"/>
  <Override PartName="/xl/ctrlProps/ctrlProp147.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ctrlProps/ctrlProp158.xml" ContentType="application/vnd.ms-excel.controlproperties+xml"/>
  <Override PartName="/xl/ctrlProps/ctrlProp146.xml" ContentType="application/vnd.ms-excel.controlproperties+xml"/>
  <Override PartName="/xl/ctrlProps/ctrlProp145.xml" ContentType="application/vnd.ms-excel.controlproperties+xml"/>
  <Override PartName="/xl/ctrlProps/ctrlProp144.xml" ContentType="application/vnd.ms-excel.controlproperties+xml"/>
  <Override PartName="/xl/ctrlProps/ctrlProp136.xml" ContentType="application/vnd.ms-excel.controlproperties+xml"/>
  <Override PartName="/xl/ctrlProps/ctrlProp135.xml" ContentType="application/vnd.ms-excel.controlproperties+xml"/>
  <Override PartName="/xl/ctrlProps/ctrlProp134.xml" ContentType="application/vnd.ms-excel.controlproperties+xml"/>
  <Override PartName="/xl/ctrlProps/ctrlProp133.xml" ContentType="application/vnd.ms-excel.controlproperties+xml"/>
  <Override PartName="/xl/ctrlProps/ctrlProp132.xml" ContentType="application/vnd.ms-excel.controlproperties+xml"/>
  <Override PartName="/xl/ctrlProps/ctrlProp131.xml" ContentType="application/vnd.ms-excel.controlproperties+xml"/>
  <Override PartName="/xl/ctrlProps/ctrlProp130.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3.xml" ContentType="application/vnd.ms-excel.controlproperties+xml"/>
  <Override PartName="/xl/ctrlProps/ctrlProp142.xml" ContentType="application/vnd.ms-excel.controlproperties+xml"/>
  <Override PartName="/xl/ctrlProps/ctrlProp141.xml" ContentType="application/vnd.ms-excel.controlproperties+xml"/>
  <Override PartName="/xl/ctrlProps/ctrlProp140.xml" ContentType="application/vnd.ms-excel.controlproperties+xml"/>
  <Override PartName="/xl/ctrlProps/ctrlProp128.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28.xml" ContentType="application/vnd.ms-excel.controlproperties+xml"/>
  <Override PartName="/xl/ctrlProps/ctrlProp27.xml" ContentType="application/vnd.ms-excel.controlproperties+xml"/>
  <Override PartName="/xl/ctrlProps/ctrlProp26.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39.xml" ContentType="application/vnd.ms-excel.controlproperties+xml"/>
  <Override PartName="/xl/comments3.xml" ContentType="application/vnd.openxmlformats-officedocument.spreadsheetml.comments+xml"/>
  <Override PartName="/xl/ctrlProps/ctrlProp37.xml" ContentType="application/vnd.ms-excel.controlproperties+xml"/>
  <Override PartName="/xl/ctrlProps/ctrlProp38.xml" ContentType="application/vnd.ms-excel.controlproperties+xml"/>
  <Override PartName="/xl/ctrlProps/ctrlProp21.xml" ContentType="application/vnd.ms-excel.controlproperties+xml"/>
  <Override PartName="/xl/ctrlProps/ctrlProp20.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7.xml" ContentType="application/vnd.ms-excel.controlproperties+xml"/>
  <Override PartName="/xl/ctrlProps/ctrlProp6.xml" ContentType="application/vnd.ms-excel.controlproperties+xml"/>
  <Override PartName="/xl/ctrlProps/ctrlProp5.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omments6.xml" ContentType="application/vnd.openxmlformats-officedocument.spreadsheetml.comments+xml"/>
  <Override PartName="/xl/comments5.xml" ContentType="application/vnd.openxmlformats-officedocument.spreadsheetml.comments+xml"/>
  <Override PartName="/xl/ctrlProps/ctrlProp19.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omments2.xml" ContentType="application/vnd.openxmlformats-officedocument.spreadsheetml.comment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76.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89.xml" ContentType="application/vnd.ms-excel.controlproperties+xml"/>
  <Override PartName="/xl/ctrlProps/ctrlProp88.xml" ContentType="application/vnd.ms-excel.controlproperties+xml"/>
  <Override PartName="/xl/ctrlProps/ctrlProp87.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71.xml" ContentType="application/vnd.ms-excel.controlproperties+xml"/>
  <Override PartName="/xl/ctrlProps/ctrlProp70.xml" ContentType="application/vnd.ms-excel.controlproperties+xml"/>
  <Override PartName="/xl/ctrlProps/ctrlProp69.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3.xml" ContentType="application/vnd.ms-excel.controlproperties+xml"/>
  <Override PartName="/xl/ctrlProps/ctrlProp52.xml" ContentType="application/vnd.ms-excel.controlproperties+xml"/>
  <Override PartName="/xl/ctrlProps/ctrlProp51.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4.xml" ContentType="application/vnd.ms-excel.controlproperties+xml"/>
  <Override PartName="/xl/ctrlProps/ctrlProp63.xml" ContentType="application/vnd.ms-excel.controlproperties+xml"/>
  <Override PartName="/xl/ctrlProps/ctrlProp62.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95.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Acer\Documents\CHARM FILES\BPM\PRICELIST WITH AUTOMATED SAMPLE COMPUTATION\EMERALD ESTATES &amp; TSF PRICELIST\2025\September 2025\Form sir Charles\"/>
    </mc:Choice>
  </mc:AlternateContent>
  <xr:revisionPtr revIDLastSave="0" documentId="8_{18C0562A-B2DF-4D09-BA93-4C99A0B23DF3}" xr6:coauthVersionLast="36" xr6:coauthVersionMax="36" xr10:uidLastSave="{00000000-0000-0000-0000-000000000000}"/>
  <bookViews>
    <workbookView xWindow="0" yWindow="0" windowWidth="19200" windowHeight="6940" tabRatio="896" firstSheet="4" activeTab="4" xr2:uid="{00000000-000D-0000-FFFF-FFFF00000000}"/>
  </bookViews>
  <sheets>
    <sheet name="Construction Sched 2023" sheetId="35" state="hidden" r:id="rId1"/>
    <sheet name="Corrected Internal_Parking B123" sheetId="34" state="hidden" r:id="rId2"/>
    <sheet name="INTERNAL PRICELIST" sheetId="22" state="hidden" r:id="rId3"/>
    <sheet name="RECOVERIES" sheetId="36" state="hidden" r:id="rId4"/>
    <sheet name="Pricelist Link" sheetId="19" r:id="rId5"/>
    <sheet name="FORM" sheetId="4" r:id="rId6"/>
    <sheet name="STANDARD COMP." sheetId="5" r:id="rId7"/>
    <sheet name="STEP UP" sheetId="32" r:id="rId8"/>
    <sheet name="RA_Step Up" sheetId="25" state="hidden" r:id="rId9"/>
    <sheet name="STEP UP with Lumpsum" sheetId="23" r:id="rId10"/>
    <sheet name="2.5% Lumpsum" sheetId="24" r:id="rId11"/>
    <sheet name="RA_Standard" sheetId="26" state="hidden" r:id="rId12"/>
    <sheet name="SPOT EQUITY_7DAYS" sheetId="6" r:id="rId13"/>
    <sheet name="RA_SE7D" sheetId="13" state="hidden" r:id="rId14"/>
    <sheet name="SPOT EQUITY_30DAYS" sheetId="7" r:id="rId15"/>
    <sheet name="RA_SE30D" sheetId="27" state="hidden" r:id="rId16"/>
    <sheet name="SPOT CASH_30 DAYS" sheetId="8" r:id="rId17"/>
    <sheet name="RA_SC30D" sheetId="28" state="hidden" r:id="rId18"/>
    <sheet name="SPOT CASH_60 DAYS" sheetId="33" state="hidden" r:id="rId19"/>
    <sheet name="SPOT CASH_60 DAYS (2)" sheetId="9" r:id="rId20"/>
    <sheet name="RA_SC60D" sheetId="29" state="hidden" r:id="rId21"/>
    <sheet name="DEFERRED" sheetId="20" r:id="rId22"/>
    <sheet name="RA_Deferred" sheetId="30" state="hidden" r:id="rId23"/>
    <sheet name="SPECIAL PACKAGE" sheetId="10" r:id="rId24"/>
    <sheet name="RA_Special" sheetId="31" state="hidden" r:id="rId25"/>
  </sheets>
  <externalReferences>
    <externalReference r:id="rId26"/>
    <externalReference r:id="rId27"/>
  </externalReferences>
  <definedNames>
    <definedName name="_xlnm._FilterDatabase" localSheetId="1" hidden="1">'Corrected Internal_Parking B123'!$A$11:$FV$115</definedName>
    <definedName name="_xlnm._FilterDatabase" localSheetId="2" hidden="1">'INTERNAL PRICELIST'!$A$6:$AH$28</definedName>
    <definedName name="_xlnm._FilterDatabase" localSheetId="4" hidden="1">'Pricelist Link'!$A$6:$AC$108</definedName>
    <definedName name="DocTemplates" localSheetId="0">OFFSET(#REF!,,,COUNTA(#REF!),1)</definedName>
    <definedName name="DocTemplates" localSheetId="7">OFFSET(#REF!,,,COUNTA(#REF!),1)</definedName>
    <definedName name="DocTemplates" localSheetId="9">OFFSET(#REF!,,,COUNTA(#REF!),1)</definedName>
    <definedName name="DocTemplates">OFFSET(#REF!,,,COUNTA(#REF!),1)</definedName>
    <definedName name="pricelist" localSheetId="10">'2.5% Lumpsum'!$AF$48:$BC$842</definedName>
    <definedName name="pricelist">'STANDARD COMP.'!$AF$48:$BC$831</definedName>
    <definedName name="_xlnm.Print_Area" localSheetId="10">'2.5% Lumpsum'!$A$1:$Q$80</definedName>
    <definedName name="_xlnm.Print_Area" localSheetId="21">DEFERRED!$B$1:$R$78</definedName>
    <definedName name="_xlnm.Print_Area" localSheetId="4">'Pricelist Link'!$C$1:$U$111</definedName>
    <definedName name="_xlnm.Print_Area" localSheetId="22">RA_Deferred!$A$1:$U$119</definedName>
    <definedName name="_xlnm.Print_Area" localSheetId="17">RA_SC30D!$A$1:$U$119</definedName>
    <definedName name="_xlnm.Print_Area" localSheetId="20">RA_SC60D!$A$1:$U$119</definedName>
    <definedName name="_xlnm.Print_Area" localSheetId="15">RA_SE30D!$A$1:$U$119</definedName>
    <definedName name="_xlnm.Print_Area" localSheetId="13">RA_SE7D!$A$1:$U$119</definedName>
    <definedName name="_xlnm.Print_Area" localSheetId="24">RA_Special!$A$1:$U$119</definedName>
    <definedName name="_xlnm.Print_Area" localSheetId="11">RA_Standard!$A$1:$U$119</definedName>
    <definedName name="_xlnm.Print_Area" localSheetId="8">'RA_Step Up'!$A$1:$U$120</definedName>
    <definedName name="_xlnm.Print_Area" localSheetId="23">'SPECIAL PACKAGE'!$A$1:$AD$81</definedName>
    <definedName name="_xlnm.Print_Area" localSheetId="16">'SPOT CASH_30 DAYS'!$A$1:$S$64</definedName>
    <definedName name="_xlnm.Print_Area" localSheetId="18">'SPOT CASH_60 DAYS'!$A$1:$S$54</definedName>
    <definedName name="_xlnm.Print_Area" localSheetId="19">'SPOT CASH_60 DAYS (2)'!$A$1:$S$54</definedName>
    <definedName name="_xlnm.Print_Area" localSheetId="14">'SPOT EQUITY_30DAYS'!$A$2:$S$70</definedName>
    <definedName name="_xlnm.Print_Area" localSheetId="12">'SPOT EQUITY_7DAYS'!$A$1:$P$69</definedName>
    <definedName name="_xlnm.Print_Area" localSheetId="6">'STANDARD COMP.'!$A$1:$Q$83</definedName>
    <definedName name="_xlnm.Print_Area" localSheetId="7">'STEP UP'!$B$1:$Q$81</definedName>
    <definedName name="_xlnm.Print_Area" localSheetId="9">'STEP UP with Lumpsum'!$B$1:$Q$78</definedName>
  </definedNames>
  <calcPr calcId="191029"/>
</workbook>
</file>

<file path=xl/calcChain.xml><?xml version="1.0" encoding="utf-8"?>
<calcChain xmlns="http://schemas.openxmlformats.org/spreadsheetml/2006/main">
  <c r="BB9" i="34" l="1"/>
  <c r="BB8" i="34"/>
  <c r="BB7" i="34"/>
  <c r="EP13" i="34"/>
  <c r="EN13" i="34" l="1"/>
  <c r="CE13" i="34" l="1"/>
  <c r="CE14" i="34"/>
  <c r="CE15" i="34"/>
  <c r="CE16" i="34"/>
  <c r="CE17" i="34"/>
  <c r="CE18" i="34"/>
  <c r="CE19" i="34"/>
  <c r="CE20" i="34"/>
  <c r="CE21" i="34"/>
  <c r="CE22" i="34"/>
  <c r="CE23" i="34"/>
  <c r="CE24" i="34"/>
  <c r="CE25" i="34"/>
  <c r="CE26" i="34"/>
  <c r="CE27" i="34"/>
  <c r="CE28" i="34"/>
  <c r="CE29" i="34"/>
  <c r="CE30" i="34"/>
  <c r="CE31" i="34"/>
  <c r="CE32" i="34"/>
  <c r="CE33" i="34"/>
  <c r="CE34" i="34"/>
  <c r="CE35" i="34"/>
  <c r="CE36" i="34"/>
  <c r="CE37" i="34"/>
  <c r="CE38" i="34"/>
  <c r="CE39" i="34"/>
  <c r="CE40" i="34"/>
  <c r="CE41" i="34"/>
  <c r="CE42" i="34"/>
  <c r="CE43" i="34"/>
  <c r="CE44" i="34"/>
  <c r="CE45" i="34"/>
  <c r="CE46" i="34"/>
  <c r="CE47" i="34"/>
  <c r="CE48" i="34"/>
  <c r="CE49" i="34"/>
  <c r="CE50" i="34"/>
  <c r="CE51" i="34"/>
  <c r="CE52" i="34"/>
  <c r="CE53" i="34"/>
  <c r="CE54" i="34"/>
  <c r="CE55" i="34"/>
  <c r="CE56" i="34"/>
  <c r="CE57" i="34"/>
  <c r="CE58" i="34"/>
  <c r="CE59" i="34"/>
  <c r="CE60" i="34"/>
  <c r="CE61" i="34"/>
  <c r="CE62" i="34"/>
  <c r="CE63" i="34"/>
  <c r="CE64" i="34"/>
  <c r="CE65" i="34"/>
  <c r="CE66" i="34"/>
  <c r="CE67" i="34"/>
  <c r="CE68" i="34"/>
  <c r="CE69" i="34"/>
  <c r="CE70" i="34"/>
  <c r="CE71" i="34"/>
  <c r="CE72" i="34"/>
  <c r="CE73" i="34"/>
  <c r="CE74" i="34"/>
  <c r="CE75" i="34"/>
  <c r="CE76" i="34"/>
  <c r="CE77" i="34"/>
  <c r="CE78" i="34"/>
  <c r="CE79" i="34"/>
  <c r="CE80" i="34"/>
  <c r="CE81" i="34"/>
  <c r="CE82" i="34"/>
  <c r="CE83" i="34"/>
  <c r="CE84" i="34"/>
  <c r="CE85" i="34"/>
  <c r="CE86" i="34"/>
  <c r="CE87" i="34"/>
  <c r="CE88" i="34"/>
  <c r="CE89" i="34"/>
  <c r="CE90" i="34"/>
  <c r="CE91" i="34"/>
  <c r="CE92" i="34"/>
  <c r="CE93" i="34"/>
  <c r="CE94" i="34"/>
  <c r="CE95" i="34"/>
  <c r="CE96" i="34"/>
  <c r="CE97" i="34"/>
  <c r="CE98" i="34"/>
  <c r="CE99" i="34"/>
  <c r="CE100" i="34"/>
  <c r="CE101" i="34"/>
  <c r="CE102" i="34"/>
  <c r="CE103" i="34"/>
  <c r="CE104" i="34"/>
  <c r="CE105" i="34"/>
  <c r="CE106" i="34"/>
  <c r="CE107" i="34"/>
  <c r="CE108" i="34"/>
  <c r="CE109" i="34"/>
  <c r="CE110" i="34"/>
  <c r="CE111" i="34"/>
  <c r="CE112" i="34"/>
  <c r="CE113" i="34"/>
  <c r="CE12" i="34"/>
  <c r="AN10" i="34" l="1"/>
  <c r="AN101" i="34" s="1"/>
  <c r="R5" i="36"/>
  <c r="N5" i="36"/>
  <c r="EL13" i="34"/>
  <c r="AN82" i="34" l="1"/>
  <c r="AN83" i="34"/>
  <c r="AN68" i="34"/>
  <c r="AN69" i="34"/>
  <c r="AN79" i="34"/>
  <c r="AN81" i="34"/>
  <c r="AN85" i="34"/>
  <c r="AN72" i="34"/>
  <c r="AN80" i="34"/>
  <c r="EI15" i="34"/>
  <c r="EG14" i="34" l="1"/>
  <c r="EI14" i="34" s="1"/>
  <c r="EA15" i="34" l="1"/>
  <c r="EC15" i="34" s="1"/>
  <c r="AD114" i="34"/>
  <c r="AB114" i="34" l="1"/>
  <c r="Z114" i="34" l="1"/>
  <c r="X114" i="34" l="1"/>
  <c r="DU15" i="34"/>
  <c r="DW15" i="34" s="1"/>
  <c r="DU14" i="34"/>
  <c r="DW14" i="34" s="1"/>
  <c r="DY14" i="34" s="1"/>
  <c r="EA14" i="34" s="1"/>
  <c r="EC14" i="34" s="1"/>
  <c r="DU13" i="34"/>
  <c r="DW13" i="34" s="1"/>
  <c r="DY13" i="34" s="1"/>
  <c r="EA13" i="34" s="1"/>
  <c r="EC13" i="34" s="1"/>
  <c r="EE13" i="34" s="1"/>
  <c r="EG13" i="34" s="1"/>
  <c r="EI13" i="34" s="1"/>
  <c r="U114" i="34" l="1"/>
  <c r="Q114" i="34"/>
  <c r="S10" i="34" l="1"/>
  <c r="S8" i="34"/>
  <c r="S9" i="34"/>
  <c r="R10" i="36"/>
  <c r="L10" i="36"/>
  <c r="L9" i="36"/>
  <c r="F9" i="36"/>
  <c r="L8" i="36"/>
  <c r="F8" i="36"/>
  <c r="L7" i="36"/>
  <c r="F7" i="36"/>
  <c r="L6" i="36"/>
  <c r="F6" i="36"/>
  <c r="F10" i="36" s="1"/>
  <c r="L5" i="36"/>
  <c r="F5" i="36"/>
  <c r="M114" i="34" l="1"/>
  <c r="S114" i="34" l="1"/>
  <c r="S115" i="34" s="1"/>
  <c r="DM15" i="34"/>
  <c r="DO15" i="34" s="1"/>
  <c r="DQ15" i="34" s="1"/>
  <c r="DM14" i="34"/>
  <c r="DO14" i="34" s="1"/>
  <c r="DQ14" i="34" s="1"/>
  <c r="DM13" i="34"/>
  <c r="DO13" i="34" s="1"/>
  <c r="DQ13" i="34" s="1"/>
  <c r="Q113" i="34" l="1"/>
  <c r="Q112" i="34"/>
  <c r="Q111" i="34"/>
  <c r="Q110" i="34"/>
  <c r="Q109" i="34"/>
  <c r="Q108" i="34"/>
  <c r="Q107" i="34"/>
  <c r="Q106" i="34"/>
  <c r="Q105" i="34"/>
  <c r="Q104" i="34"/>
  <c r="Q103" i="34"/>
  <c r="Q102" i="34"/>
  <c r="Q101" i="34"/>
  <c r="Q100" i="34"/>
  <c r="Q99" i="34"/>
  <c r="Q98" i="34"/>
  <c r="Q97" i="34"/>
  <c r="Q96" i="34"/>
  <c r="Q95" i="34"/>
  <c r="Q94" i="34"/>
  <c r="Q93" i="34"/>
  <c r="Q92" i="34"/>
  <c r="Q91" i="34"/>
  <c r="Q90" i="34"/>
  <c r="Q89" i="34"/>
  <c r="Q88" i="34"/>
  <c r="Q87" i="34"/>
  <c r="Q86" i="34"/>
  <c r="Q85" i="34"/>
  <c r="Q84" i="34"/>
  <c r="Q83" i="34"/>
  <c r="Q82" i="34"/>
  <c r="Q81" i="34"/>
  <c r="Q80" i="34"/>
  <c r="Q79" i="34"/>
  <c r="Q78" i="34"/>
  <c r="Q77" i="34"/>
  <c r="Q76" i="34"/>
  <c r="Q75" i="34"/>
  <c r="Q74" i="34"/>
  <c r="Q73" i="34"/>
  <c r="Q72" i="34"/>
  <c r="Q71" i="34"/>
  <c r="Q70" i="34"/>
  <c r="Q69" i="34"/>
  <c r="Q68" i="34"/>
  <c r="Q67" i="34"/>
  <c r="Q66" i="34"/>
  <c r="Q65" i="34"/>
  <c r="Q64" i="34"/>
  <c r="Q63" i="34"/>
  <c r="Q62" i="34"/>
  <c r="Q61" i="34"/>
  <c r="Q60" i="34"/>
  <c r="Q59" i="34"/>
  <c r="Q58" i="34"/>
  <c r="Q57" i="34"/>
  <c r="Q56" i="34"/>
  <c r="Q55" i="34"/>
  <c r="Q54" i="34"/>
  <c r="Q53" i="34"/>
  <c r="Q52" i="34"/>
  <c r="Q51" i="34"/>
  <c r="Q50" i="34"/>
  <c r="Q49" i="34"/>
  <c r="Q48" i="34"/>
  <c r="Q47" i="34"/>
  <c r="Q46" i="34"/>
  <c r="Q45" i="34"/>
  <c r="Q44" i="34"/>
  <c r="Q43" i="34"/>
  <c r="Q42" i="34"/>
  <c r="Q41" i="34"/>
  <c r="Q40" i="34"/>
  <c r="Q39" i="34"/>
  <c r="Q38" i="34"/>
  <c r="Q37" i="34"/>
  <c r="Q36" i="34"/>
  <c r="Q35" i="34"/>
  <c r="Q34" i="34"/>
  <c r="Q33" i="34"/>
  <c r="Q32" i="34"/>
  <c r="Q31" i="34"/>
  <c r="Q30" i="34"/>
  <c r="Q29" i="34"/>
  <c r="Q28" i="34"/>
  <c r="Q27" i="34"/>
  <c r="Q26" i="34"/>
  <c r="Q25" i="34"/>
  <c r="Q24" i="34"/>
  <c r="Q23" i="34"/>
  <c r="Q22" i="34"/>
  <c r="Q21" i="34"/>
  <c r="Q20" i="34"/>
  <c r="Q19" i="34"/>
  <c r="Q18" i="34"/>
  <c r="Q17" i="34"/>
  <c r="Q16" i="34"/>
  <c r="Q15" i="34"/>
  <c r="Q14" i="34"/>
  <c r="Q13" i="34"/>
  <c r="Q12" i="34"/>
  <c r="CW14" i="34" l="1"/>
  <c r="CY14" i="34" s="1"/>
  <c r="CW13" i="34"/>
  <c r="CX13" i="34" s="1"/>
  <c r="CX14" i="34" l="1"/>
  <c r="CZ14" i="34"/>
  <c r="DA14" i="34"/>
  <c r="CY13" i="34"/>
  <c r="CV14" i="34"/>
  <c r="CV13" i="34"/>
  <c r="CZ13" i="34" l="1"/>
  <c r="DA13" i="34"/>
  <c r="DB14" i="34"/>
  <c r="FA113" i="34"/>
  <c r="EY113" i="34"/>
  <c r="FE113" i="34" s="1"/>
  <c r="FA112" i="34"/>
  <c r="EY112" i="34"/>
  <c r="FE112" i="34" s="1"/>
  <c r="FA111" i="34"/>
  <c r="EY111" i="34"/>
  <c r="FE111" i="34" s="1"/>
  <c r="FA110" i="34"/>
  <c r="EY110" i="34"/>
  <c r="FE110" i="34" s="1"/>
  <c r="FA109" i="34"/>
  <c r="EY109" i="34"/>
  <c r="FE109" i="34" s="1"/>
  <c r="FA108" i="34"/>
  <c r="EY108" i="34"/>
  <c r="FE108" i="34" s="1"/>
  <c r="FA107" i="34"/>
  <c r="EY107" i="34"/>
  <c r="FE107" i="34" s="1"/>
  <c r="FA106" i="34"/>
  <c r="EY106" i="34"/>
  <c r="FE106" i="34" s="1"/>
  <c r="FA105" i="34"/>
  <c r="EY105" i="34"/>
  <c r="FE105" i="34" s="1"/>
  <c r="FA104" i="34"/>
  <c r="EY104" i="34"/>
  <c r="FE104" i="34" s="1"/>
  <c r="FA103" i="34"/>
  <c r="EY103" i="34"/>
  <c r="FE103" i="34" s="1"/>
  <c r="FA102" i="34"/>
  <c r="EY102" i="34"/>
  <c r="FE102" i="34" s="1"/>
  <c r="FA101" i="34"/>
  <c r="EY101" i="34"/>
  <c r="FE101" i="34" s="1"/>
  <c r="FA100" i="34"/>
  <c r="EY100" i="34"/>
  <c r="FE100" i="34" s="1"/>
  <c r="FA99" i="34"/>
  <c r="EY99" i="34"/>
  <c r="FE99" i="34" s="1"/>
  <c r="FA98" i="34"/>
  <c r="EY98" i="34"/>
  <c r="FE98" i="34" s="1"/>
  <c r="FA97" i="34"/>
  <c r="EY97" i="34"/>
  <c r="FE97" i="34" s="1"/>
  <c r="FA96" i="34"/>
  <c r="EY96" i="34"/>
  <c r="FE96" i="34" s="1"/>
  <c r="FA95" i="34"/>
  <c r="EY95" i="34"/>
  <c r="FE95" i="34" s="1"/>
  <c r="FA94" i="34"/>
  <c r="EY94" i="34"/>
  <c r="FE94" i="34" s="1"/>
  <c r="FA93" i="34"/>
  <c r="EY93" i="34"/>
  <c r="FE93" i="34" s="1"/>
  <c r="FA92" i="34"/>
  <c r="EY92" i="34"/>
  <c r="FE92" i="34" s="1"/>
  <c r="FA91" i="34"/>
  <c r="EY91" i="34"/>
  <c r="FE91" i="34" s="1"/>
  <c r="FA90" i="34"/>
  <c r="EY90" i="34"/>
  <c r="FE90" i="34" s="1"/>
  <c r="FA89" i="34"/>
  <c r="EY89" i="34"/>
  <c r="FE89" i="34" s="1"/>
  <c r="FA88" i="34"/>
  <c r="EY88" i="34"/>
  <c r="FE88" i="34" s="1"/>
  <c r="FA87" i="34"/>
  <c r="EY87" i="34"/>
  <c r="FE87" i="34" s="1"/>
  <c r="FA86" i="34"/>
  <c r="EY86" i="34"/>
  <c r="FE86" i="34" s="1"/>
  <c r="FA85" i="34"/>
  <c r="EY85" i="34"/>
  <c r="FE85" i="34" s="1"/>
  <c r="FA84" i="34"/>
  <c r="EY84" i="34"/>
  <c r="FE84" i="34" s="1"/>
  <c r="FA83" i="34"/>
  <c r="EY83" i="34"/>
  <c r="FE83" i="34" s="1"/>
  <c r="FA82" i="34"/>
  <c r="EY82" i="34"/>
  <c r="FE82" i="34" s="1"/>
  <c r="FA81" i="34"/>
  <c r="EY81" i="34"/>
  <c r="FE81" i="34" s="1"/>
  <c r="FA80" i="34"/>
  <c r="EY80" i="34"/>
  <c r="FE80" i="34" s="1"/>
  <c r="FA79" i="34"/>
  <c r="EY79" i="34"/>
  <c r="FE79" i="34" s="1"/>
  <c r="FA78" i="34"/>
  <c r="EY78" i="34"/>
  <c r="FE78" i="34" s="1"/>
  <c r="FA77" i="34"/>
  <c r="EY77" i="34"/>
  <c r="FE77" i="34" s="1"/>
  <c r="FA76" i="34"/>
  <c r="EY76" i="34"/>
  <c r="FE76" i="34" s="1"/>
  <c r="FA75" i="34"/>
  <c r="EY75" i="34"/>
  <c r="FE75" i="34" s="1"/>
  <c r="FA74" i="34"/>
  <c r="EY74" i="34"/>
  <c r="FE74" i="34" s="1"/>
  <c r="FA73" i="34"/>
  <c r="EY73" i="34"/>
  <c r="FE73" i="34" s="1"/>
  <c r="FA72" i="34"/>
  <c r="EY72" i="34"/>
  <c r="FE72" i="34" s="1"/>
  <c r="FA71" i="34"/>
  <c r="EY71" i="34"/>
  <c r="FE71" i="34" s="1"/>
  <c r="FA70" i="34"/>
  <c r="EY70" i="34"/>
  <c r="FE70" i="34" s="1"/>
  <c r="FA69" i="34"/>
  <c r="EY69" i="34"/>
  <c r="FE69" i="34" s="1"/>
  <c r="FA68" i="34"/>
  <c r="EY68" i="34"/>
  <c r="FE68" i="34" s="1"/>
  <c r="FA67" i="34"/>
  <c r="EY67" i="34"/>
  <c r="FE67" i="34" s="1"/>
  <c r="FA66" i="34"/>
  <c r="EY66" i="34"/>
  <c r="FE66" i="34" s="1"/>
  <c r="FA65" i="34"/>
  <c r="EY65" i="34"/>
  <c r="FE65" i="34" s="1"/>
  <c r="FA64" i="34"/>
  <c r="EY64" i="34"/>
  <c r="FE64" i="34" s="1"/>
  <c r="FA63" i="34"/>
  <c r="EY63" i="34"/>
  <c r="FE63" i="34" s="1"/>
  <c r="FA62" i="34"/>
  <c r="EY62" i="34"/>
  <c r="FE62" i="34" s="1"/>
  <c r="FA61" i="34"/>
  <c r="EY61" i="34"/>
  <c r="FE61" i="34" s="1"/>
  <c r="FA60" i="34"/>
  <c r="EY60" i="34"/>
  <c r="FE60" i="34" s="1"/>
  <c r="FA59" i="34"/>
  <c r="EY59" i="34"/>
  <c r="FE59" i="34" s="1"/>
  <c r="FA58" i="34"/>
  <c r="EY58" i="34"/>
  <c r="FE58" i="34" s="1"/>
  <c r="FA57" i="34"/>
  <c r="EY57" i="34"/>
  <c r="FE57" i="34" s="1"/>
  <c r="FA56" i="34"/>
  <c r="EY56" i="34"/>
  <c r="FE56" i="34" s="1"/>
  <c r="FA55" i="34"/>
  <c r="EY55" i="34"/>
  <c r="FE55" i="34" s="1"/>
  <c r="FA54" i="34"/>
  <c r="EY54" i="34"/>
  <c r="FE54" i="34" s="1"/>
  <c r="FA53" i="34"/>
  <c r="EY53" i="34"/>
  <c r="FE53" i="34" s="1"/>
  <c r="FA52" i="34"/>
  <c r="EY52" i="34"/>
  <c r="FE52" i="34" s="1"/>
  <c r="FA51" i="34"/>
  <c r="EY51" i="34"/>
  <c r="FE51" i="34" s="1"/>
  <c r="FA50" i="34"/>
  <c r="EY50" i="34"/>
  <c r="FE50" i="34" s="1"/>
  <c r="FA49" i="34"/>
  <c r="EY49" i="34"/>
  <c r="FE49" i="34" s="1"/>
  <c r="FA48" i="34"/>
  <c r="EY48" i="34"/>
  <c r="FE48" i="34" s="1"/>
  <c r="FA47" i="34"/>
  <c r="EY47" i="34"/>
  <c r="FE47" i="34" s="1"/>
  <c r="FA46" i="34"/>
  <c r="EY46" i="34"/>
  <c r="FE46" i="34" s="1"/>
  <c r="FA45" i="34"/>
  <c r="EY45" i="34"/>
  <c r="FE45" i="34" s="1"/>
  <c r="FA44" i="34"/>
  <c r="EY44" i="34"/>
  <c r="FE44" i="34" s="1"/>
  <c r="FA43" i="34"/>
  <c r="EY43" i="34"/>
  <c r="FE43" i="34" s="1"/>
  <c r="FA42" i="34"/>
  <c r="EY42" i="34"/>
  <c r="FE42" i="34" s="1"/>
  <c r="FA41" i="34"/>
  <c r="EY41" i="34"/>
  <c r="FE41" i="34" s="1"/>
  <c r="FA40" i="34"/>
  <c r="EY40" i="34"/>
  <c r="FE40" i="34" s="1"/>
  <c r="FA39" i="34"/>
  <c r="EY39" i="34"/>
  <c r="FE39" i="34" s="1"/>
  <c r="FA38" i="34"/>
  <c r="EY38" i="34"/>
  <c r="FE38" i="34" s="1"/>
  <c r="FA37" i="34"/>
  <c r="EY37" i="34"/>
  <c r="FE37" i="34" s="1"/>
  <c r="FA36" i="34"/>
  <c r="EY36" i="34"/>
  <c r="FE36" i="34" s="1"/>
  <c r="FA35" i="34"/>
  <c r="EY35" i="34"/>
  <c r="FE35" i="34" s="1"/>
  <c r="FA34" i="34"/>
  <c r="EY34" i="34"/>
  <c r="FE34" i="34" s="1"/>
  <c r="FA33" i="34"/>
  <c r="EY33" i="34"/>
  <c r="FE33" i="34" s="1"/>
  <c r="FA32" i="34"/>
  <c r="EY32" i="34"/>
  <c r="FE32" i="34" s="1"/>
  <c r="FA31" i="34"/>
  <c r="EY31" i="34"/>
  <c r="FE31" i="34" s="1"/>
  <c r="FA30" i="34"/>
  <c r="EY30" i="34"/>
  <c r="FE30" i="34" s="1"/>
  <c r="FA29" i="34"/>
  <c r="EY29" i="34"/>
  <c r="FE29" i="34" s="1"/>
  <c r="FA28" i="34"/>
  <c r="EY28" i="34"/>
  <c r="FE28" i="34" s="1"/>
  <c r="FA27" i="34"/>
  <c r="EY27" i="34"/>
  <c r="FE27" i="34" s="1"/>
  <c r="FA26" i="34"/>
  <c r="EY26" i="34"/>
  <c r="FE26" i="34" s="1"/>
  <c r="FA25" i="34"/>
  <c r="EY25" i="34"/>
  <c r="FE25" i="34" s="1"/>
  <c r="FA24" i="34"/>
  <c r="EY24" i="34"/>
  <c r="FE24" i="34" s="1"/>
  <c r="FA23" i="34"/>
  <c r="EY23" i="34"/>
  <c r="FE23" i="34" s="1"/>
  <c r="FA22" i="34"/>
  <c r="EY22" i="34"/>
  <c r="FE22" i="34" s="1"/>
  <c r="FA21" i="34"/>
  <c r="EY21" i="34"/>
  <c r="FE21" i="34" s="1"/>
  <c r="FA20" i="34"/>
  <c r="EY20" i="34"/>
  <c r="FE20" i="34" s="1"/>
  <c r="FA19" i="34"/>
  <c r="EY19" i="34"/>
  <c r="FE19" i="34" s="1"/>
  <c r="FA18" i="34"/>
  <c r="EY18" i="34"/>
  <c r="FE18" i="34" s="1"/>
  <c r="FA17" i="34"/>
  <c r="EY17" i="34"/>
  <c r="FE17" i="34" s="1"/>
  <c r="FA16" i="34"/>
  <c r="EY16" i="34"/>
  <c r="FE16" i="34" s="1"/>
  <c r="FA15" i="34"/>
  <c r="EY15" i="34"/>
  <c r="FE15" i="34" s="1"/>
  <c r="FA14" i="34"/>
  <c r="EY14" i="34"/>
  <c r="FE14" i="34" s="1"/>
  <c r="FA13" i="34"/>
  <c r="EY13" i="34"/>
  <c r="FE13" i="34" s="1"/>
  <c r="FC113" i="34"/>
  <c r="FC112" i="34"/>
  <c r="FC111" i="34"/>
  <c r="FC110" i="34"/>
  <c r="FC109" i="34"/>
  <c r="FC108" i="34"/>
  <c r="FC107" i="34"/>
  <c r="FC106" i="34"/>
  <c r="FC105" i="34"/>
  <c r="FC104" i="34"/>
  <c r="FC103" i="34"/>
  <c r="FC102" i="34"/>
  <c r="FC101" i="34"/>
  <c r="FC100" i="34"/>
  <c r="FC99" i="34"/>
  <c r="FC98" i="34"/>
  <c r="FC97" i="34"/>
  <c r="FC96" i="34"/>
  <c r="FC95" i="34"/>
  <c r="FC94" i="34"/>
  <c r="FC93" i="34"/>
  <c r="FC92" i="34"/>
  <c r="FC91" i="34"/>
  <c r="FC90" i="34"/>
  <c r="FC89" i="34"/>
  <c r="FC88" i="34"/>
  <c r="FC87" i="34"/>
  <c r="FC86" i="34"/>
  <c r="FC85" i="34"/>
  <c r="FC84" i="34"/>
  <c r="FC83" i="34"/>
  <c r="FC82" i="34"/>
  <c r="FC81" i="34"/>
  <c r="FC80" i="34"/>
  <c r="FC79" i="34"/>
  <c r="FC78" i="34"/>
  <c r="FC77" i="34"/>
  <c r="FC76" i="34"/>
  <c r="FC75" i="34"/>
  <c r="FC74" i="34"/>
  <c r="FC73" i="34"/>
  <c r="FC72" i="34"/>
  <c r="FC71" i="34"/>
  <c r="FC70" i="34"/>
  <c r="FC69" i="34"/>
  <c r="FC68" i="34"/>
  <c r="FC67" i="34"/>
  <c r="FC66" i="34"/>
  <c r="FC65" i="34"/>
  <c r="FC64" i="34"/>
  <c r="FC63" i="34"/>
  <c r="FC62" i="34"/>
  <c r="FC61" i="34"/>
  <c r="FC60" i="34"/>
  <c r="FC59" i="34"/>
  <c r="FC58" i="34"/>
  <c r="FC57" i="34"/>
  <c r="FC56" i="34"/>
  <c r="FC55" i="34"/>
  <c r="FC54" i="34"/>
  <c r="FC53" i="34"/>
  <c r="FC52" i="34"/>
  <c r="FC51" i="34"/>
  <c r="FC50" i="34"/>
  <c r="FC49" i="34"/>
  <c r="FC48" i="34"/>
  <c r="FC47" i="34"/>
  <c r="FC46" i="34"/>
  <c r="FC45" i="34"/>
  <c r="FC44" i="34"/>
  <c r="FC43" i="34"/>
  <c r="FC42" i="34"/>
  <c r="FC41" i="34"/>
  <c r="FC40" i="34"/>
  <c r="FC39" i="34"/>
  <c r="FC38" i="34"/>
  <c r="FC37" i="34"/>
  <c r="FC36" i="34"/>
  <c r="FC35" i="34"/>
  <c r="FC34" i="34"/>
  <c r="FC33" i="34"/>
  <c r="FC32" i="34"/>
  <c r="FC31" i="34"/>
  <c r="FC30" i="34"/>
  <c r="FC29" i="34"/>
  <c r="FC28" i="34"/>
  <c r="FC27" i="34"/>
  <c r="FC26" i="34"/>
  <c r="FC25" i="34"/>
  <c r="FC24" i="34"/>
  <c r="FC23" i="34"/>
  <c r="FC22" i="34"/>
  <c r="FC21" i="34"/>
  <c r="FC20" i="34"/>
  <c r="FC19" i="34"/>
  <c r="FC18" i="34"/>
  <c r="FC17" i="34"/>
  <c r="FC16" i="34"/>
  <c r="FC15" i="34"/>
  <c r="FC14" i="34"/>
  <c r="FC13" i="34"/>
  <c r="FC12" i="34"/>
  <c r="EY12" i="34"/>
  <c r="FE12" i="34" s="1"/>
  <c r="FA12" i="34"/>
  <c r="FH11" i="34"/>
  <c r="FI11" i="34"/>
  <c r="EY11" i="34"/>
  <c r="EZ11" i="34"/>
  <c r="FA11" i="34"/>
  <c r="FB11" i="34"/>
  <c r="FC11" i="34"/>
  <c r="FD11" i="34"/>
  <c r="FE11" i="34"/>
  <c r="FF11" i="34"/>
  <c r="FG11" i="34"/>
  <c r="EX11" i="34"/>
  <c r="DB13" i="34" l="1"/>
  <c r="CS13" i="34"/>
  <c r="CT13" i="34" s="1"/>
  <c r="M59" i="24" l="1"/>
  <c r="K60" i="24"/>
  <c r="M62" i="24"/>
  <c r="K63" i="24"/>
  <c r="M66" i="24"/>
  <c r="K67" i="24"/>
  <c r="K68" i="24"/>
  <c r="M60" i="24"/>
  <c r="M61" i="24"/>
  <c r="M64" i="24"/>
  <c r="M65" i="24"/>
  <c r="M67" i="24"/>
  <c r="M68" i="24"/>
  <c r="M69" i="24"/>
  <c r="K61" i="24"/>
  <c r="K62" i="24"/>
  <c r="K64" i="24"/>
  <c r="K65" i="24"/>
  <c r="K69" i="24"/>
  <c r="K59" i="24" l="1"/>
  <c r="M63" i="24"/>
  <c r="K66" i="24"/>
  <c r="M43" i="23"/>
  <c r="K43" i="23"/>
  <c r="BB47" i="34"/>
  <c r="BB62" i="34"/>
  <c r="BB30" i="34"/>
  <c r="CQ15" i="34"/>
  <c r="CS15" i="34" s="1"/>
  <c r="CQ14" i="34"/>
  <c r="CS14" i="34" s="1"/>
  <c r="CT14" i="34" s="1"/>
  <c r="CT15" i="34" l="1"/>
  <c r="CU15" i="34"/>
  <c r="BB31" i="34"/>
  <c r="BB39" i="34"/>
  <c r="BB55" i="34"/>
  <c r="BB63" i="34"/>
  <c r="BB15" i="34"/>
  <c r="BB23" i="34"/>
  <c r="BB16" i="34"/>
  <c r="BB24" i="34"/>
  <c r="BB32" i="34"/>
  <c r="BB40" i="34"/>
  <c r="BB48" i="34"/>
  <c r="BB56" i="34"/>
  <c r="BB64" i="34"/>
  <c r="BB17" i="34"/>
  <c r="BB25" i="34"/>
  <c r="BB33" i="34"/>
  <c r="BB41" i="34"/>
  <c r="BB49" i="34"/>
  <c r="BB57" i="34"/>
  <c r="BB18" i="34"/>
  <c r="BB26" i="34"/>
  <c r="BB34" i="34"/>
  <c r="BB42" i="34"/>
  <c r="BB50" i="34"/>
  <c r="BB58" i="34"/>
  <c r="BB19" i="34"/>
  <c r="BB27" i="34"/>
  <c r="BB35" i="34"/>
  <c r="BB43" i="34"/>
  <c r="BB51" i="34"/>
  <c r="BB59" i="34"/>
  <c r="BB12" i="34"/>
  <c r="BB20" i="34"/>
  <c r="BB28" i="34"/>
  <c r="BB36" i="34"/>
  <c r="BB44" i="34"/>
  <c r="BB52" i="34"/>
  <c r="BB60" i="34"/>
  <c r="BB13" i="34"/>
  <c r="BB21" i="34"/>
  <c r="BB29" i="34"/>
  <c r="BB37" i="34"/>
  <c r="BB45" i="34"/>
  <c r="BB53" i="34"/>
  <c r="BB61" i="34"/>
  <c r="BB14" i="34"/>
  <c r="BB22" i="34"/>
  <c r="BB38" i="34"/>
  <c r="BB46" i="34"/>
  <c r="BB54" i="34"/>
  <c r="K44" i="23"/>
  <c r="M44" i="23"/>
  <c r="CR15" i="34"/>
  <c r="CR14" i="34"/>
  <c r="CR13" i="34"/>
  <c r="CW15" i="34" l="1"/>
  <c r="CV15" i="34"/>
  <c r="M45" i="23"/>
  <c r="K45" i="23"/>
  <c r="CY15" i="34" l="1"/>
  <c r="CX15" i="34"/>
  <c r="M46" i="23"/>
  <c r="K46" i="23"/>
  <c r="CP13" i="34"/>
  <c r="CP15" i="34"/>
  <c r="CP14" i="34"/>
  <c r="CZ15" i="34" l="1"/>
  <c r="DA15" i="34"/>
  <c r="M47" i="23"/>
  <c r="K47" i="23"/>
  <c r="CN15" i="34"/>
  <c r="CN14" i="34"/>
  <c r="CN13" i="34"/>
  <c r="CK13" i="34"/>
  <c r="DB15" i="34" l="1"/>
  <c r="M48" i="23"/>
  <c r="K48" i="23"/>
  <c r="CK14" i="34"/>
  <c r="BB71" i="34" l="1"/>
  <c r="BB104" i="34"/>
  <c r="BB65" i="34"/>
  <c r="BB90" i="34"/>
  <c r="BB84" i="34"/>
  <c r="BB109" i="34"/>
  <c r="BB86" i="34"/>
  <c r="BB88" i="34"/>
  <c r="BB93" i="34"/>
  <c r="BB96" i="34"/>
  <c r="BB82" i="34"/>
  <c r="BB76" i="34"/>
  <c r="BB78" i="34"/>
  <c r="BB112" i="34"/>
  <c r="BB73" i="34"/>
  <c r="BB98" i="34"/>
  <c r="BB67" i="34"/>
  <c r="BB92" i="34"/>
  <c r="BB94" i="34"/>
  <c r="BB79" i="34"/>
  <c r="BB81" i="34"/>
  <c r="BB106" i="34"/>
  <c r="BB75" i="34"/>
  <c r="BB100" i="34"/>
  <c r="BB102" i="34"/>
  <c r="BB113" i="34"/>
  <c r="BB107" i="34"/>
  <c r="BB95" i="34"/>
  <c r="BB89" i="34"/>
  <c r="BB83" i="34"/>
  <c r="BB108" i="34"/>
  <c r="BB69" i="34"/>
  <c r="BB74" i="34"/>
  <c r="BB70" i="34"/>
  <c r="BB87" i="34"/>
  <c r="BB72" i="34"/>
  <c r="BB97" i="34"/>
  <c r="BB91" i="34"/>
  <c r="BB77" i="34"/>
  <c r="BB68" i="34"/>
  <c r="BB101" i="34"/>
  <c r="BB103" i="34"/>
  <c r="BB80" i="34"/>
  <c r="BB105" i="34"/>
  <c r="BB66" i="34"/>
  <c r="BB99" i="34"/>
  <c r="BB85" i="34"/>
  <c r="BB111" i="34"/>
  <c r="BB110" i="34"/>
  <c r="M49" i="23"/>
  <c r="K49" i="23"/>
  <c r="BP10" i="34"/>
  <c r="M50" i="23" l="1"/>
  <c r="K50" i="23"/>
  <c r="B41" i="32"/>
  <c r="B40" i="32"/>
  <c r="C37" i="32"/>
  <c r="C38" i="32"/>
  <c r="C39" i="32"/>
  <c r="C36" i="32"/>
  <c r="B43" i="10"/>
  <c r="B42" i="10"/>
  <c r="C39" i="10"/>
  <c r="C40" i="10"/>
  <c r="C41" i="10"/>
  <c r="C38" i="10"/>
  <c r="B39" i="7"/>
  <c r="B38" i="7"/>
  <c r="C35" i="7"/>
  <c r="C36" i="7"/>
  <c r="C37" i="7"/>
  <c r="C34" i="7"/>
  <c r="B38" i="6"/>
  <c r="B37" i="6"/>
  <c r="C34" i="6"/>
  <c r="C35" i="6"/>
  <c r="C36" i="6"/>
  <c r="C33" i="6"/>
  <c r="B42" i="23"/>
  <c r="B41" i="23"/>
  <c r="C38" i="23"/>
  <c r="C39" i="23"/>
  <c r="C40" i="23"/>
  <c r="C37" i="23"/>
  <c r="B39" i="24"/>
  <c r="B38" i="24"/>
  <c r="C35" i="24"/>
  <c r="C36" i="24"/>
  <c r="C37" i="24"/>
  <c r="C34" i="24"/>
  <c r="M51" i="23" l="1"/>
  <c r="K51" i="23"/>
  <c r="CK15" i="34"/>
  <c r="CL15" i="34" s="1"/>
  <c r="CL14" i="34"/>
  <c r="CL13" i="34"/>
  <c r="CJ15" i="34"/>
  <c r="CJ14" i="34"/>
  <c r="CJ13" i="34"/>
  <c r="M52" i="23" l="1"/>
  <c r="K52" i="23"/>
  <c r="BO12" i="34"/>
  <c r="BP12" i="34" s="1"/>
  <c r="M53" i="23" l="1"/>
  <c r="K53" i="23"/>
  <c r="M66" i="32"/>
  <c r="K66" i="32"/>
  <c r="CA118" i="34"/>
  <c r="K54" i="23" l="1"/>
  <c r="M54" i="23"/>
  <c r="K67" i="32"/>
  <c r="M67" i="32"/>
  <c r="CH13" i="34"/>
  <c r="K55" i="23" l="1"/>
  <c r="M55" i="23"/>
  <c r="M68" i="32"/>
  <c r="K68" i="32"/>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D41" i="19"/>
  <c r="D42" i="19"/>
  <c r="D43" i="19"/>
  <c r="D44" i="19"/>
  <c r="D45" i="19"/>
  <c r="D46" i="19"/>
  <c r="D47" i="19"/>
  <c r="D48" i="19"/>
  <c r="D49" i="19"/>
  <c r="D50" i="19"/>
  <c r="D51" i="19"/>
  <c r="D52" i="19"/>
  <c r="D53" i="19"/>
  <c r="D54" i="19"/>
  <c r="D55" i="19"/>
  <c r="D56" i="19"/>
  <c r="D57" i="19"/>
  <c r="D58" i="19"/>
  <c r="D59" i="19"/>
  <c r="D60" i="19"/>
  <c r="D61" i="19"/>
  <c r="D62" i="19"/>
  <c r="D63" i="19"/>
  <c r="D64" i="19"/>
  <c r="D65" i="19"/>
  <c r="D66" i="19"/>
  <c r="D67" i="19"/>
  <c r="D68" i="19"/>
  <c r="D69" i="19"/>
  <c r="D70" i="19"/>
  <c r="D71" i="19"/>
  <c r="D72" i="19"/>
  <c r="D73" i="19"/>
  <c r="D74" i="19"/>
  <c r="D75" i="19"/>
  <c r="D76" i="19"/>
  <c r="D77" i="19"/>
  <c r="D78" i="19"/>
  <c r="D79" i="19"/>
  <c r="D80" i="19"/>
  <c r="D81" i="19"/>
  <c r="D82" i="19"/>
  <c r="D83" i="19"/>
  <c r="D84" i="19"/>
  <c r="D85" i="19"/>
  <c r="D86" i="19"/>
  <c r="D87" i="19"/>
  <c r="D88" i="19"/>
  <c r="D89" i="19"/>
  <c r="D90" i="19"/>
  <c r="D91" i="19"/>
  <c r="D92" i="19"/>
  <c r="D93" i="19"/>
  <c r="D94" i="19"/>
  <c r="D95" i="19"/>
  <c r="D96" i="19"/>
  <c r="D97" i="19"/>
  <c r="D98" i="19"/>
  <c r="D99" i="19"/>
  <c r="D100" i="19"/>
  <c r="D101" i="19"/>
  <c r="D102" i="19"/>
  <c r="D103" i="19"/>
  <c r="D104" i="19"/>
  <c r="D105" i="19"/>
  <c r="D106" i="19"/>
  <c r="D107" i="19"/>
  <c r="D108" i="19"/>
  <c r="C8" i="19"/>
  <c r="C9" i="19"/>
  <c r="C10" i="19"/>
  <c r="C11" i="19"/>
  <c r="C12" i="19"/>
  <c r="C13" i="19"/>
  <c r="C14" i="19"/>
  <c r="C15" i="19"/>
  <c r="C16" i="19"/>
  <c r="C17" i="19"/>
  <c r="C18" i="19"/>
  <c r="C19" i="19"/>
  <c r="C20" i="19"/>
  <c r="C21" i="19"/>
  <c r="C22" i="19"/>
  <c r="C23" i="19"/>
  <c r="C24" i="19"/>
  <c r="C25" i="19"/>
  <c r="C26" i="19"/>
  <c r="C27" i="19"/>
  <c r="C28" i="19"/>
  <c r="C29" i="19"/>
  <c r="C30" i="19"/>
  <c r="C31" i="19"/>
  <c r="C32" i="19"/>
  <c r="C33" i="19"/>
  <c r="C34" i="19"/>
  <c r="C35" i="19"/>
  <c r="C36" i="19"/>
  <c r="C37" i="19"/>
  <c r="C38" i="19"/>
  <c r="C39" i="19"/>
  <c r="C40" i="19"/>
  <c r="C41" i="19"/>
  <c r="C42" i="19"/>
  <c r="C43" i="19"/>
  <c r="C44" i="19"/>
  <c r="C45" i="19"/>
  <c r="C46" i="19"/>
  <c r="C47" i="19"/>
  <c r="C48" i="19"/>
  <c r="C49" i="19"/>
  <c r="C50" i="19"/>
  <c r="C51" i="19"/>
  <c r="C52" i="19"/>
  <c r="C53" i="19"/>
  <c r="C54" i="19"/>
  <c r="C55" i="19"/>
  <c r="C56" i="19"/>
  <c r="C57" i="19"/>
  <c r="C58" i="19"/>
  <c r="C59" i="19"/>
  <c r="C60" i="19"/>
  <c r="C61" i="19"/>
  <c r="C62" i="19"/>
  <c r="C63" i="19"/>
  <c r="C64" i="19"/>
  <c r="C65" i="19"/>
  <c r="C66" i="19"/>
  <c r="C67" i="19"/>
  <c r="C68" i="19"/>
  <c r="C69" i="19"/>
  <c r="C70" i="19"/>
  <c r="C71" i="19"/>
  <c r="C72" i="19"/>
  <c r="C73" i="19"/>
  <c r="C74" i="19"/>
  <c r="C75" i="19"/>
  <c r="C76" i="19"/>
  <c r="C77" i="19"/>
  <c r="C78" i="19"/>
  <c r="C79" i="19"/>
  <c r="C80" i="19"/>
  <c r="C81" i="19"/>
  <c r="C82" i="19"/>
  <c r="C83" i="19"/>
  <c r="C84" i="19"/>
  <c r="C85" i="19"/>
  <c r="C86" i="19"/>
  <c r="C87" i="19"/>
  <c r="C88" i="19"/>
  <c r="C89" i="19"/>
  <c r="C90" i="19"/>
  <c r="C91" i="19"/>
  <c r="C92" i="19"/>
  <c r="C93" i="19"/>
  <c r="C94" i="19"/>
  <c r="C95" i="19"/>
  <c r="C96" i="19"/>
  <c r="C97" i="19"/>
  <c r="C98" i="19"/>
  <c r="C99" i="19"/>
  <c r="C100" i="19"/>
  <c r="C101" i="19"/>
  <c r="C102" i="19"/>
  <c r="C103" i="19"/>
  <c r="C104" i="19"/>
  <c r="C105" i="19"/>
  <c r="C106" i="19"/>
  <c r="C107" i="19"/>
  <c r="C108" i="19"/>
  <c r="D7" i="19"/>
  <c r="C7" i="19"/>
  <c r="M56" i="23" l="1"/>
  <c r="K56" i="23"/>
  <c r="M69" i="32"/>
  <c r="K69" i="32"/>
  <c r="CA135" i="34"/>
  <c r="CA128" i="34"/>
  <c r="CA121" i="34"/>
  <c r="CA134" i="34"/>
  <c r="CA133" i="34"/>
  <c r="CA132" i="34"/>
  <c r="CA127" i="34"/>
  <c r="CA126" i="34"/>
  <c r="CA125" i="34"/>
  <c r="CA120" i="34"/>
  <c r="CA119" i="34"/>
  <c r="CC113" i="34"/>
  <c r="CC112" i="34"/>
  <c r="CC111" i="34"/>
  <c r="CC110" i="34"/>
  <c r="CC109" i="34"/>
  <c r="CC108" i="34"/>
  <c r="CC107" i="34"/>
  <c r="CC106" i="34"/>
  <c r="CC105" i="34"/>
  <c r="CC104" i="34"/>
  <c r="CC103" i="34"/>
  <c r="CC102" i="34"/>
  <c r="CC101" i="34"/>
  <c r="CC100" i="34"/>
  <c r="CC99" i="34"/>
  <c r="CC98" i="34"/>
  <c r="CC97" i="34"/>
  <c r="CC96" i="34"/>
  <c r="CC95" i="34"/>
  <c r="CC94" i="34"/>
  <c r="CC93" i="34"/>
  <c r="CC92" i="34"/>
  <c r="CC91" i="34"/>
  <c r="CC90" i="34"/>
  <c r="CC89" i="34"/>
  <c r="CC88" i="34"/>
  <c r="CC87" i="34"/>
  <c r="CC86" i="34"/>
  <c r="CC85" i="34"/>
  <c r="CC84" i="34"/>
  <c r="CC83" i="34"/>
  <c r="CC82" i="34"/>
  <c r="CC81" i="34"/>
  <c r="CC80" i="34"/>
  <c r="CC79" i="34"/>
  <c r="CC78" i="34"/>
  <c r="CC77" i="34"/>
  <c r="CC76" i="34"/>
  <c r="CC75" i="34"/>
  <c r="CC74" i="34"/>
  <c r="CC73" i="34"/>
  <c r="CC72" i="34"/>
  <c r="CC71" i="34"/>
  <c r="CC70" i="34"/>
  <c r="CC69" i="34"/>
  <c r="CC68" i="34"/>
  <c r="CC67" i="34"/>
  <c r="CC66" i="34"/>
  <c r="CC65" i="34"/>
  <c r="CC64" i="34"/>
  <c r="CC63" i="34"/>
  <c r="CC62" i="34"/>
  <c r="CC61" i="34"/>
  <c r="CC60" i="34"/>
  <c r="CC59" i="34"/>
  <c r="CC58" i="34"/>
  <c r="CC57" i="34"/>
  <c r="CC56" i="34"/>
  <c r="CC55" i="34"/>
  <c r="CC54" i="34"/>
  <c r="CC53" i="34"/>
  <c r="CC52" i="34"/>
  <c r="CC51" i="34"/>
  <c r="CC50" i="34"/>
  <c r="CC49" i="34"/>
  <c r="CC48" i="34"/>
  <c r="CC47" i="34"/>
  <c r="CC46" i="34"/>
  <c r="CC45" i="34"/>
  <c r="CC44" i="34"/>
  <c r="CC43" i="34"/>
  <c r="CC42" i="34"/>
  <c r="CC41" i="34"/>
  <c r="CC40" i="34"/>
  <c r="CC39" i="34"/>
  <c r="CC38" i="34"/>
  <c r="CC37" i="34"/>
  <c r="CC36" i="34"/>
  <c r="CC35" i="34"/>
  <c r="CC34" i="34"/>
  <c r="CC33" i="34"/>
  <c r="CC32" i="34"/>
  <c r="CC31" i="34"/>
  <c r="CC30" i="34"/>
  <c r="CC29" i="34"/>
  <c r="CC28" i="34"/>
  <c r="CC27" i="34"/>
  <c r="CC26" i="34"/>
  <c r="CC25" i="34"/>
  <c r="CC24" i="34"/>
  <c r="CC23" i="34"/>
  <c r="CC22" i="34"/>
  <c r="CC21" i="34"/>
  <c r="CC20" i="34"/>
  <c r="CC19" i="34"/>
  <c r="CC18" i="34"/>
  <c r="CC17" i="34"/>
  <c r="CC16" i="34"/>
  <c r="CC15" i="34"/>
  <c r="CC14" i="34"/>
  <c r="CC13" i="34"/>
  <c r="CC12" i="34"/>
  <c r="M57" i="23" l="1"/>
  <c r="K57" i="23"/>
  <c r="K70" i="32"/>
  <c r="M70" i="32"/>
  <c r="CA122" i="34"/>
  <c r="CA136" i="34"/>
  <c r="CA129" i="34"/>
  <c r="M58" i="23" l="1"/>
  <c r="K58" i="23"/>
  <c r="CA139" i="34"/>
  <c r="M59" i="23" l="1"/>
  <c r="K59" i="23"/>
  <c r="F8" i="19"/>
  <c r="F9" i="19"/>
  <c r="F10" i="19"/>
  <c r="F11" i="19"/>
  <c r="F12" i="19"/>
  <c r="F13" i="19"/>
  <c r="F14" i="19"/>
  <c r="F15" i="19"/>
  <c r="F16" i="19"/>
  <c r="F17" i="19"/>
  <c r="F18" i="19"/>
  <c r="F19" i="19"/>
  <c r="F20" i="19"/>
  <c r="F21" i="19"/>
  <c r="F22" i="19"/>
  <c r="F23" i="19"/>
  <c r="F24" i="19"/>
  <c r="F25" i="19"/>
  <c r="F26" i="19"/>
  <c r="F27" i="19"/>
  <c r="F28" i="19"/>
  <c r="F29" i="19"/>
  <c r="F30" i="19"/>
  <c r="F31" i="19"/>
  <c r="F32" i="19"/>
  <c r="F33" i="19"/>
  <c r="F34" i="19"/>
  <c r="F35" i="19"/>
  <c r="F36" i="19"/>
  <c r="F37" i="19"/>
  <c r="F38" i="19"/>
  <c r="F39" i="19"/>
  <c r="F40" i="19"/>
  <c r="F41" i="19"/>
  <c r="F42" i="19"/>
  <c r="F43" i="19"/>
  <c r="F44" i="19"/>
  <c r="F45" i="19"/>
  <c r="F46" i="19"/>
  <c r="F47" i="19"/>
  <c r="F48" i="19"/>
  <c r="F49" i="19"/>
  <c r="F50" i="19"/>
  <c r="F51" i="19"/>
  <c r="F52" i="19"/>
  <c r="F53" i="19"/>
  <c r="F54" i="19"/>
  <c r="F55" i="19"/>
  <c r="F56" i="19"/>
  <c r="F57" i="19"/>
  <c r="F58" i="19"/>
  <c r="F59" i="19"/>
  <c r="F60" i="19"/>
  <c r="F61" i="19"/>
  <c r="F62" i="19"/>
  <c r="F63" i="19"/>
  <c r="F64" i="19"/>
  <c r="F65" i="19"/>
  <c r="F66" i="19"/>
  <c r="F67" i="19"/>
  <c r="F68" i="19"/>
  <c r="F69" i="19"/>
  <c r="F70" i="19"/>
  <c r="F71" i="19"/>
  <c r="F72" i="19"/>
  <c r="F73" i="19"/>
  <c r="F74" i="19"/>
  <c r="F75" i="19"/>
  <c r="F76" i="19"/>
  <c r="F77" i="19"/>
  <c r="F78" i="19"/>
  <c r="F79" i="19"/>
  <c r="F80" i="19"/>
  <c r="F81" i="19"/>
  <c r="F82" i="19"/>
  <c r="F83" i="19"/>
  <c r="F84" i="19"/>
  <c r="F85" i="19"/>
  <c r="F86" i="19"/>
  <c r="F87" i="19"/>
  <c r="F88" i="19"/>
  <c r="F89" i="19"/>
  <c r="F90" i="19"/>
  <c r="F91" i="19"/>
  <c r="F92" i="19"/>
  <c r="F93" i="19"/>
  <c r="F94" i="19"/>
  <c r="F95" i="19"/>
  <c r="F96" i="19"/>
  <c r="F97" i="19"/>
  <c r="F98" i="19"/>
  <c r="F99" i="19"/>
  <c r="F100" i="19"/>
  <c r="F101" i="19"/>
  <c r="F102" i="19"/>
  <c r="F103" i="19"/>
  <c r="F104" i="19"/>
  <c r="F105" i="19"/>
  <c r="F106" i="19"/>
  <c r="F107" i="19"/>
  <c r="F108" i="19"/>
  <c r="F7" i="19"/>
  <c r="E7" i="5"/>
  <c r="B119" i="19"/>
  <c r="C119" i="19" s="1"/>
  <c r="D119" i="19" s="1"/>
  <c r="E119" i="19" s="1"/>
  <c r="F119" i="19" s="1"/>
  <c r="G119" i="19" s="1"/>
  <c r="H119" i="19" s="1"/>
  <c r="I119" i="19" s="1"/>
  <c r="J119" i="19" s="1"/>
  <c r="K119" i="19" s="1"/>
  <c r="L119" i="19" s="1"/>
  <c r="M119" i="19" s="1"/>
  <c r="N119" i="19" s="1"/>
  <c r="O119" i="19" s="1"/>
  <c r="P119" i="19" s="1"/>
  <c r="Q119" i="19" s="1"/>
  <c r="R119" i="19" s="1"/>
  <c r="S119" i="19" s="1"/>
  <c r="T119" i="19" s="1"/>
  <c r="U119" i="19" s="1"/>
  <c r="E8" i="19"/>
  <c r="A8" i="19" s="1"/>
  <c r="E9" i="19"/>
  <c r="A9" i="19" s="1"/>
  <c r="E10" i="19"/>
  <c r="A10" i="19" s="1"/>
  <c r="E11" i="19"/>
  <c r="A11" i="19" s="1"/>
  <c r="E12" i="19"/>
  <c r="A12" i="19" s="1"/>
  <c r="E13" i="19"/>
  <c r="A13" i="19" s="1"/>
  <c r="E14" i="19"/>
  <c r="A14" i="19" s="1"/>
  <c r="E15" i="19"/>
  <c r="A15" i="19" s="1"/>
  <c r="E16" i="19"/>
  <c r="A16" i="19" s="1"/>
  <c r="E17" i="19"/>
  <c r="A17" i="19" s="1"/>
  <c r="E18" i="19"/>
  <c r="A18" i="19" s="1"/>
  <c r="E19" i="19"/>
  <c r="A19" i="19" s="1"/>
  <c r="E20" i="19"/>
  <c r="A20" i="19" s="1"/>
  <c r="E21" i="19"/>
  <c r="A21" i="19" s="1"/>
  <c r="E22" i="19"/>
  <c r="A22" i="19" s="1"/>
  <c r="E23" i="19"/>
  <c r="A23" i="19" s="1"/>
  <c r="E24" i="19"/>
  <c r="A24" i="19" s="1"/>
  <c r="E25" i="19"/>
  <c r="A25" i="19" s="1"/>
  <c r="E26" i="19"/>
  <c r="A26" i="19" s="1"/>
  <c r="E27" i="19"/>
  <c r="A27" i="19" s="1"/>
  <c r="E28" i="19"/>
  <c r="A28" i="19" s="1"/>
  <c r="E29" i="19"/>
  <c r="A29" i="19" s="1"/>
  <c r="E30" i="19"/>
  <c r="A30" i="19" s="1"/>
  <c r="E31" i="19"/>
  <c r="A31" i="19" s="1"/>
  <c r="E32" i="19"/>
  <c r="A32" i="19" s="1"/>
  <c r="E33" i="19"/>
  <c r="A33" i="19" s="1"/>
  <c r="E34" i="19"/>
  <c r="A34" i="19" s="1"/>
  <c r="E35" i="19"/>
  <c r="A35" i="19" s="1"/>
  <c r="E36" i="19"/>
  <c r="A36" i="19" s="1"/>
  <c r="E37" i="19"/>
  <c r="A37" i="19" s="1"/>
  <c r="E38" i="19"/>
  <c r="A38" i="19" s="1"/>
  <c r="E39" i="19"/>
  <c r="A39" i="19" s="1"/>
  <c r="E40" i="19"/>
  <c r="A40" i="19" s="1"/>
  <c r="E41" i="19"/>
  <c r="A41" i="19" s="1"/>
  <c r="E42" i="19"/>
  <c r="A42" i="19" s="1"/>
  <c r="E43" i="19"/>
  <c r="A43" i="19" s="1"/>
  <c r="E44" i="19"/>
  <c r="A44" i="19" s="1"/>
  <c r="E45" i="19"/>
  <c r="A45" i="19" s="1"/>
  <c r="E46" i="19"/>
  <c r="A46" i="19" s="1"/>
  <c r="E47" i="19"/>
  <c r="A47" i="19" s="1"/>
  <c r="E48" i="19"/>
  <c r="A48" i="19" s="1"/>
  <c r="E49" i="19"/>
  <c r="A49" i="19" s="1"/>
  <c r="E50" i="19"/>
  <c r="A50" i="19" s="1"/>
  <c r="E51" i="19"/>
  <c r="A51" i="19" s="1"/>
  <c r="E52" i="19"/>
  <c r="A52" i="19" s="1"/>
  <c r="E53" i="19"/>
  <c r="A53" i="19" s="1"/>
  <c r="E54" i="19"/>
  <c r="A54" i="19" s="1"/>
  <c r="E55" i="19"/>
  <c r="A55" i="19" s="1"/>
  <c r="E56" i="19"/>
  <c r="A56" i="19" s="1"/>
  <c r="E57" i="19"/>
  <c r="A57" i="19" s="1"/>
  <c r="E58" i="19"/>
  <c r="A58" i="19" s="1"/>
  <c r="E59" i="19"/>
  <c r="A59" i="19" s="1"/>
  <c r="E60" i="19"/>
  <c r="A60" i="19" s="1"/>
  <c r="E61" i="19"/>
  <c r="A61" i="19" s="1"/>
  <c r="E62" i="19"/>
  <c r="A62" i="19" s="1"/>
  <c r="E63" i="19"/>
  <c r="A63" i="19" s="1"/>
  <c r="E64" i="19"/>
  <c r="A64" i="19" s="1"/>
  <c r="E65" i="19"/>
  <c r="A65" i="19" s="1"/>
  <c r="E66" i="19"/>
  <c r="A66" i="19" s="1"/>
  <c r="E67" i="19"/>
  <c r="A67" i="19" s="1"/>
  <c r="E68" i="19"/>
  <c r="A68" i="19" s="1"/>
  <c r="E69" i="19"/>
  <c r="A69" i="19" s="1"/>
  <c r="E70" i="19"/>
  <c r="A70" i="19" s="1"/>
  <c r="E71" i="19"/>
  <c r="A71" i="19" s="1"/>
  <c r="E72" i="19"/>
  <c r="A72" i="19" s="1"/>
  <c r="E73" i="19"/>
  <c r="A73" i="19" s="1"/>
  <c r="E74" i="19"/>
  <c r="A74" i="19" s="1"/>
  <c r="E75" i="19"/>
  <c r="A75" i="19" s="1"/>
  <c r="E76" i="19"/>
  <c r="A76" i="19" s="1"/>
  <c r="E77" i="19"/>
  <c r="A77" i="19" s="1"/>
  <c r="E78" i="19"/>
  <c r="A78" i="19" s="1"/>
  <c r="E79" i="19"/>
  <c r="A79" i="19" s="1"/>
  <c r="E80" i="19"/>
  <c r="A80" i="19" s="1"/>
  <c r="E81" i="19"/>
  <c r="A81" i="19" s="1"/>
  <c r="E82" i="19"/>
  <c r="A82" i="19" s="1"/>
  <c r="E83" i="19"/>
  <c r="A83" i="19" s="1"/>
  <c r="E84" i="19"/>
  <c r="A84" i="19" s="1"/>
  <c r="E85" i="19"/>
  <c r="A85" i="19" s="1"/>
  <c r="E86" i="19"/>
  <c r="A86" i="19" s="1"/>
  <c r="E87" i="19"/>
  <c r="A87" i="19" s="1"/>
  <c r="E88" i="19"/>
  <c r="A88" i="19" s="1"/>
  <c r="E89" i="19"/>
  <c r="A89" i="19" s="1"/>
  <c r="E90" i="19"/>
  <c r="A90" i="19" s="1"/>
  <c r="E91" i="19"/>
  <c r="A91" i="19" s="1"/>
  <c r="E92" i="19"/>
  <c r="A92" i="19" s="1"/>
  <c r="E93" i="19"/>
  <c r="A93" i="19" s="1"/>
  <c r="E94" i="19"/>
  <c r="A94" i="19" s="1"/>
  <c r="E95" i="19"/>
  <c r="A95" i="19" s="1"/>
  <c r="E96" i="19"/>
  <c r="A96" i="19" s="1"/>
  <c r="E97" i="19"/>
  <c r="A97" i="19" s="1"/>
  <c r="E98" i="19"/>
  <c r="A98" i="19" s="1"/>
  <c r="E99" i="19"/>
  <c r="A99" i="19" s="1"/>
  <c r="E100" i="19"/>
  <c r="A100" i="19" s="1"/>
  <c r="E101" i="19"/>
  <c r="A101" i="19" s="1"/>
  <c r="E102" i="19"/>
  <c r="A102" i="19" s="1"/>
  <c r="E103" i="19"/>
  <c r="A103" i="19" s="1"/>
  <c r="E104" i="19"/>
  <c r="A104" i="19" s="1"/>
  <c r="E105" i="19"/>
  <c r="A105" i="19" s="1"/>
  <c r="E106" i="19"/>
  <c r="A106" i="19" s="1"/>
  <c r="E107" i="19"/>
  <c r="A107" i="19" s="1"/>
  <c r="E108" i="19"/>
  <c r="A108" i="19" s="1"/>
  <c r="N108" i="19"/>
  <c r="AB108" i="19" s="1"/>
  <c r="L108" i="19"/>
  <c r="AA108" i="19" s="1"/>
  <c r="G108" i="19"/>
  <c r="B108" i="19"/>
  <c r="N107" i="19"/>
  <c r="AB107" i="19" s="1"/>
  <c r="L107" i="19"/>
  <c r="AA107" i="19" s="1"/>
  <c r="G107" i="19"/>
  <c r="B107" i="19"/>
  <c r="N106" i="19"/>
  <c r="AB106" i="19" s="1"/>
  <c r="L106" i="19"/>
  <c r="AA106" i="19" s="1"/>
  <c r="G106" i="19"/>
  <c r="B106" i="19"/>
  <c r="N105" i="19"/>
  <c r="AB105" i="19" s="1"/>
  <c r="L105" i="19"/>
  <c r="AA105" i="19" s="1"/>
  <c r="G105" i="19"/>
  <c r="B105" i="19"/>
  <c r="N104" i="19"/>
  <c r="AB104" i="19" s="1"/>
  <c r="L104" i="19"/>
  <c r="AA104" i="19" s="1"/>
  <c r="G104" i="19"/>
  <c r="B104" i="19"/>
  <c r="N103" i="19"/>
  <c r="AB103" i="19" s="1"/>
  <c r="L103" i="19"/>
  <c r="AA103" i="19" s="1"/>
  <c r="G103" i="19"/>
  <c r="B103" i="19"/>
  <c r="N102" i="19"/>
  <c r="AB102" i="19" s="1"/>
  <c r="L102" i="19"/>
  <c r="AA102" i="19" s="1"/>
  <c r="G102" i="19"/>
  <c r="B102" i="19"/>
  <c r="N101" i="19"/>
  <c r="AB101" i="19" s="1"/>
  <c r="L101" i="19"/>
  <c r="AA101" i="19" s="1"/>
  <c r="G101" i="19"/>
  <c r="B101" i="19"/>
  <c r="N100" i="19"/>
  <c r="AB100" i="19" s="1"/>
  <c r="L100" i="19"/>
  <c r="AA100" i="19" s="1"/>
  <c r="G100" i="19"/>
  <c r="B100" i="19"/>
  <c r="N99" i="19"/>
  <c r="AB99" i="19" s="1"/>
  <c r="L99" i="19"/>
  <c r="AA99" i="19" s="1"/>
  <c r="G99" i="19"/>
  <c r="B99" i="19"/>
  <c r="N98" i="19"/>
  <c r="AB98" i="19" s="1"/>
  <c r="L98" i="19"/>
  <c r="AA98" i="19" s="1"/>
  <c r="G98" i="19"/>
  <c r="B98" i="19"/>
  <c r="N97" i="19"/>
  <c r="AB97" i="19" s="1"/>
  <c r="L97" i="19"/>
  <c r="AA97" i="19" s="1"/>
  <c r="G97" i="19"/>
  <c r="B97" i="19"/>
  <c r="N96" i="19"/>
  <c r="AB96" i="19" s="1"/>
  <c r="L96" i="19"/>
  <c r="AA96" i="19" s="1"/>
  <c r="G96" i="19"/>
  <c r="B96" i="19"/>
  <c r="N95" i="19"/>
  <c r="AB95" i="19" s="1"/>
  <c r="L95" i="19"/>
  <c r="AA95" i="19" s="1"/>
  <c r="G95" i="19"/>
  <c r="B95" i="19"/>
  <c r="N94" i="19"/>
  <c r="AB94" i="19" s="1"/>
  <c r="L94" i="19"/>
  <c r="AA94" i="19" s="1"/>
  <c r="G94" i="19"/>
  <c r="B94" i="19"/>
  <c r="N93" i="19"/>
  <c r="AB93" i="19" s="1"/>
  <c r="L93" i="19"/>
  <c r="AA93" i="19" s="1"/>
  <c r="G93" i="19"/>
  <c r="B93" i="19"/>
  <c r="N92" i="19"/>
  <c r="AB92" i="19" s="1"/>
  <c r="L92" i="19"/>
  <c r="AA92" i="19" s="1"/>
  <c r="G92" i="19"/>
  <c r="B92" i="19"/>
  <c r="N91" i="19"/>
  <c r="AB91" i="19" s="1"/>
  <c r="L91" i="19"/>
  <c r="AA91" i="19" s="1"/>
  <c r="G91" i="19"/>
  <c r="B91" i="19"/>
  <c r="N90" i="19"/>
  <c r="AB90" i="19" s="1"/>
  <c r="L90" i="19"/>
  <c r="AA90" i="19" s="1"/>
  <c r="G90" i="19"/>
  <c r="B90" i="19"/>
  <c r="N89" i="19"/>
  <c r="AB89" i="19" s="1"/>
  <c r="L89" i="19"/>
  <c r="AA89" i="19" s="1"/>
  <c r="G89" i="19"/>
  <c r="B89" i="19"/>
  <c r="N88" i="19"/>
  <c r="AB88" i="19" s="1"/>
  <c r="L88" i="19"/>
  <c r="AA88" i="19" s="1"/>
  <c r="G88" i="19"/>
  <c r="B88" i="19"/>
  <c r="N87" i="19"/>
  <c r="AB87" i="19" s="1"/>
  <c r="L87" i="19"/>
  <c r="AA87" i="19" s="1"/>
  <c r="G87" i="19"/>
  <c r="B87" i="19"/>
  <c r="N86" i="19"/>
  <c r="AB86" i="19" s="1"/>
  <c r="L86" i="19"/>
  <c r="AA86" i="19" s="1"/>
  <c r="G86" i="19"/>
  <c r="B86" i="19"/>
  <c r="N85" i="19"/>
  <c r="AB85" i="19" s="1"/>
  <c r="L85" i="19"/>
  <c r="AA85" i="19" s="1"/>
  <c r="G85" i="19"/>
  <c r="B85" i="19"/>
  <c r="N84" i="19"/>
  <c r="AB84" i="19" s="1"/>
  <c r="L84" i="19"/>
  <c r="AA84" i="19" s="1"/>
  <c r="G84" i="19"/>
  <c r="B84" i="19"/>
  <c r="N83" i="19"/>
  <c r="AB83" i="19" s="1"/>
  <c r="L83" i="19"/>
  <c r="AA83" i="19" s="1"/>
  <c r="G83" i="19"/>
  <c r="B83" i="19"/>
  <c r="N82" i="19"/>
  <c r="AB82" i="19" s="1"/>
  <c r="L82" i="19"/>
  <c r="AA82" i="19" s="1"/>
  <c r="G82" i="19"/>
  <c r="B82" i="19"/>
  <c r="N81" i="19"/>
  <c r="AB81" i="19" s="1"/>
  <c r="L81" i="19"/>
  <c r="AA81" i="19" s="1"/>
  <c r="G81" i="19"/>
  <c r="B81" i="19"/>
  <c r="N80" i="19"/>
  <c r="AB80" i="19" s="1"/>
  <c r="L80" i="19"/>
  <c r="AA80" i="19" s="1"/>
  <c r="G80" i="19"/>
  <c r="B80" i="19"/>
  <c r="N79" i="19"/>
  <c r="AB79" i="19" s="1"/>
  <c r="L79" i="19"/>
  <c r="AA79" i="19" s="1"/>
  <c r="G79" i="19"/>
  <c r="B79" i="19"/>
  <c r="N78" i="19"/>
  <c r="AB78" i="19" s="1"/>
  <c r="L78" i="19"/>
  <c r="AA78" i="19" s="1"/>
  <c r="G78" i="19"/>
  <c r="B78" i="19"/>
  <c r="N77" i="19"/>
  <c r="AB77" i="19" s="1"/>
  <c r="L77" i="19"/>
  <c r="AA77" i="19" s="1"/>
  <c r="G77" i="19"/>
  <c r="B77" i="19"/>
  <c r="N76" i="19"/>
  <c r="AB76" i="19" s="1"/>
  <c r="L76" i="19"/>
  <c r="AA76" i="19" s="1"/>
  <c r="G76" i="19"/>
  <c r="B76" i="19"/>
  <c r="N75" i="19"/>
  <c r="AB75" i="19" s="1"/>
  <c r="L75" i="19"/>
  <c r="AA75" i="19" s="1"/>
  <c r="G75" i="19"/>
  <c r="B75" i="19"/>
  <c r="N74" i="19"/>
  <c r="AB74" i="19" s="1"/>
  <c r="L74" i="19"/>
  <c r="AA74" i="19" s="1"/>
  <c r="G74" i="19"/>
  <c r="B74" i="19"/>
  <c r="N73" i="19"/>
  <c r="AB73" i="19" s="1"/>
  <c r="L73" i="19"/>
  <c r="AA73" i="19" s="1"/>
  <c r="G73" i="19"/>
  <c r="B73" i="19"/>
  <c r="N72" i="19"/>
  <c r="AB72" i="19" s="1"/>
  <c r="L72" i="19"/>
  <c r="AA72" i="19" s="1"/>
  <c r="G72" i="19"/>
  <c r="B72" i="19"/>
  <c r="N71" i="19"/>
  <c r="AB71" i="19" s="1"/>
  <c r="L71" i="19"/>
  <c r="AA71" i="19" s="1"/>
  <c r="G71" i="19"/>
  <c r="B71" i="19"/>
  <c r="N70" i="19"/>
  <c r="AB70" i="19" s="1"/>
  <c r="L70" i="19"/>
  <c r="AA70" i="19" s="1"/>
  <c r="G70" i="19"/>
  <c r="B70" i="19"/>
  <c r="N69" i="19"/>
  <c r="AB69" i="19" s="1"/>
  <c r="L69" i="19"/>
  <c r="AA69" i="19" s="1"/>
  <c r="G69" i="19"/>
  <c r="B69" i="19"/>
  <c r="N68" i="19"/>
  <c r="AB68" i="19" s="1"/>
  <c r="L68" i="19"/>
  <c r="AA68" i="19" s="1"/>
  <c r="G68" i="19"/>
  <c r="B68" i="19"/>
  <c r="N67" i="19"/>
  <c r="AB67" i="19" s="1"/>
  <c r="L67" i="19"/>
  <c r="AA67" i="19" s="1"/>
  <c r="G67" i="19"/>
  <c r="B67" i="19"/>
  <c r="N66" i="19"/>
  <c r="AB66" i="19" s="1"/>
  <c r="L66" i="19"/>
  <c r="AA66" i="19" s="1"/>
  <c r="G66" i="19"/>
  <c r="B66" i="19"/>
  <c r="N65" i="19"/>
  <c r="AB65" i="19" s="1"/>
  <c r="L65" i="19"/>
  <c r="AA65" i="19" s="1"/>
  <c r="G65" i="19"/>
  <c r="B65" i="19"/>
  <c r="N64" i="19"/>
  <c r="AB64" i="19" s="1"/>
  <c r="L64" i="19"/>
  <c r="AA64" i="19" s="1"/>
  <c r="G64" i="19"/>
  <c r="B64" i="19"/>
  <c r="N63" i="19"/>
  <c r="AB63" i="19" s="1"/>
  <c r="L63" i="19"/>
  <c r="AA63" i="19" s="1"/>
  <c r="G63" i="19"/>
  <c r="B63" i="19"/>
  <c r="N62" i="19"/>
  <c r="AB62" i="19" s="1"/>
  <c r="L62" i="19"/>
  <c r="AA62" i="19" s="1"/>
  <c r="G62" i="19"/>
  <c r="B62" i="19"/>
  <c r="N61" i="19"/>
  <c r="AB61" i="19" s="1"/>
  <c r="L61" i="19"/>
  <c r="AA61" i="19" s="1"/>
  <c r="G61" i="19"/>
  <c r="B61" i="19"/>
  <c r="N60" i="19"/>
  <c r="AB60" i="19" s="1"/>
  <c r="L60" i="19"/>
  <c r="AA60" i="19" s="1"/>
  <c r="G60" i="19"/>
  <c r="B60" i="19"/>
  <c r="N59" i="19"/>
  <c r="AB59" i="19" s="1"/>
  <c r="L59" i="19"/>
  <c r="AA59" i="19" s="1"/>
  <c r="G59" i="19"/>
  <c r="B59" i="19"/>
  <c r="N58" i="19"/>
  <c r="AB58" i="19" s="1"/>
  <c r="L58" i="19"/>
  <c r="AA58" i="19" s="1"/>
  <c r="G58" i="19"/>
  <c r="B58" i="19"/>
  <c r="N57" i="19"/>
  <c r="AB57" i="19" s="1"/>
  <c r="L57" i="19"/>
  <c r="AA57" i="19" s="1"/>
  <c r="G57" i="19"/>
  <c r="B57" i="19"/>
  <c r="N56" i="19"/>
  <c r="AB56" i="19" s="1"/>
  <c r="L56" i="19"/>
  <c r="AA56" i="19" s="1"/>
  <c r="G56" i="19"/>
  <c r="B56" i="19"/>
  <c r="N55" i="19"/>
  <c r="AB55" i="19" s="1"/>
  <c r="L55" i="19"/>
  <c r="AA55" i="19" s="1"/>
  <c r="G55" i="19"/>
  <c r="B55" i="19"/>
  <c r="N54" i="19"/>
  <c r="AB54" i="19" s="1"/>
  <c r="L54" i="19"/>
  <c r="AA54" i="19" s="1"/>
  <c r="G54" i="19"/>
  <c r="B54" i="19"/>
  <c r="N53" i="19"/>
  <c r="AB53" i="19" s="1"/>
  <c r="L53" i="19"/>
  <c r="AA53" i="19" s="1"/>
  <c r="G53" i="19"/>
  <c r="B53" i="19"/>
  <c r="N52" i="19"/>
  <c r="AB52" i="19" s="1"/>
  <c r="L52" i="19"/>
  <c r="AA52" i="19" s="1"/>
  <c r="G52" i="19"/>
  <c r="B52" i="19"/>
  <c r="N51" i="19"/>
  <c r="AB51" i="19" s="1"/>
  <c r="L51" i="19"/>
  <c r="AA51" i="19" s="1"/>
  <c r="G51" i="19"/>
  <c r="B51" i="19"/>
  <c r="N50" i="19"/>
  <c r="AB50" i="19" s="1"/>
  <c r="L50" i="19"/>
  <c r="AA50" i="19" s="1"/>
  <c r="G50" i="19"/>
  <c r="B50" i="19"/>
  <c r="N49" i="19"/>
  <c r="AB49" i="19" s="1"/>
  <c r="L49" i="19"/>
  <c r="AA49" i="19" s="1"/>
  <c r="G49" i="19"/>
  <c r="B49" i="19"/>
  <c r="N48" i="19"/>
  <c r="AB48" i="19" s="1"/>
  <c r="L48" i="19"/>
  <c r="AA48" i="19" s="1"/>
  <c r="G48" i="19"/>
  <c r="B48" i="19"/>
  <c r="N47" i="19"/>
  <c r="AB47" i="19" s="1"/>
  <c r="L47" i="19"/>
  <c r="AA47" i="19" s="1"/>
  <c r="G47" i="19"/>
  <c r="B47" i="19"/>
  <c r="N46" i="19"/>
  <c r="AB46" i="19" s="1"/>
  <c r="L46" i="19"/>
  <c r="AA46" i="19" s="1"/>
  <c r="G46" i="19"/>
  <c r="B46" i="19"/>
  <c r="N45" i="19"/>
  <c r="AB45" i="19" s="1"/>
  <c r="L45" i="19"/>
  <c r="AA45" i="19" s="1"/>
  <c r="G45" i="19"/>
  <c r="B45" i="19"/>
  <c r="N44" i="19"/>
  <c r="AB44" i="19" s="1"/>
  <c r="L44" i="19"/>
  <c r="AA44" i="19" s="1"/>
  <c r="G44" i="19"/>
  <c r="B44" i="19"/>
  <c r="N43" i="19"/>
  <c r="AB43" i="19" s="1"/>
  <c r="L43" i="19"/>
  <c r="AA43" i="19" s="1"/>
  <c r="G43" i="19"/>
  <c r="B43" i="19"/>
  <c r="N42" i="19"/>
  <c r="AB42" i="19" s="1"/>
  <c r="L42" i="19"/>
  <c r="AA42" i="19" s="1"/>
  <c r="G42" i="19"/>
  <c r="B42" i="19"/>
  <c r="N41" i="19"/>
  <c r="AB41" i="19" s="1"/>
  <c r="L41" i="19"/>
  <c r="AA41" i="19" s="1"/>
  <c r="G41" i="19"/>
  <c r="B41" i="19"/>
  <c r="N40" i="19"/>
  <c r="AB40" i="19" s="1"/>
  <c r="L40" i="19"/>
  <c r="AA40" i="19" s="1"/>
  <c r="G40" i="19"/>
  <c r="B40" i="19"/>
  <c r="N39" i="19"/>
  <c r="AB39" i="19" s="1"/>
  <c r="L39" i="19"/>
  <c r="AA39" i="19" s="1"/>
  <c r="G39" i="19"/>
  <c r="B39" i="19"/>
  <c r="N38" i="19"/>
  <c r="AB38" i="19" s="1"/>
  <c r="L38" i="19"/>
  <c r="AA38" i="19" s="1"/>
  <c r="G38" i="19"/>
  <c r="B38" i="19"/>
  <c r="N37" i="19"/>
  <c r="AB37" i="19" s="1"/>
  <c r="L37" i="19"/>
  <c r="AA37" i="19" s="1"/>
  <c r="G37" i="19"/>
  <c r="B37" i="19"/>
  <c r="N36" i="19"/>
  <c r="AB36" i="19" s="1"/>
  <c r="L36" i="19"/>
  <c r="AA36" i="19" s="1"/>
  <c r="G36" i="19"/>
  <c r="B36" i="19"/>
  <c r="N35" i="19"/>
  <c r="AB35" i="19" s="1"/>
  <c r="L35" i="19"/>
  <c r="AA35" i="19" s="1"/>
  <c r="G35" i="19"/>
  <c r="B35" i="19"/>
  <c r="N34" i="19"/>
  <c r="AB34" i="19" s="1"/>
  <c r="L34" i="19"/>
  <c r="AA34" i="19" s="1"/>
  <c r="G34" i="19"/>
  <c r="B34" i="19"/>
  <c r="N33" i="19"/>
  <c r="AB33" i="19" s="1"/>
  <c r="L33" i="19"/>
  <c r="AA33" i="19" s="1"/>
  <c r="G33" i="19"/>
  <c r="B33" i="19"/>
  <c r="N32" i="19"/>
  <c r="AB32" i="19" s="1"/>
  <c r="L32" i="19"/>
  <c r="AA32" i="19" s="1"/>
  <c r="G32" i="19"/>
  <c r="B32" i="19"/>
  <c r="N31" i="19"/>
  <c r="AB31" i="19" s="1"/>
  <c r="L31" i="19"/>
  <c r="AA31" i="19" s="1"/>
  <c r="G31" i="19"/>
  <c r="B31" i="19"/>
  <c r="N30" i="19"/>
  <c r="AB30" i="19" s="1"/>
  <c r="L30" i="19"/>
  <c r="AA30" i="19" s="1"/>
  <c r="G30" i="19"/>
  <c r="B30" i="19"/>
  <c r="N29" i="19"/>
  <c r="AB29" i="19" s="1"/>
  <c r="L29" i="19"/>
  <c r="AA29" i="19" s="1"/>
  <c r="G29" i="19"/>
  <c r="B29" i="19"/>
  <c r="N28" i="19"/>
  <c r="AB28" i="19" s="1"/>
  <c r="L28" i="19"/>
  <c r="AA28" i="19" s="1"/>
  <c r="G28" i="19"/>
  <c r="B28" i="19"/>
  <c r="N27" i="19"/>
  <c r="AB27" i="19" s="1"/>
  <c r="L27" i="19"/>
  <c r="AA27" i="19" s="1"/>
  <c r="G27" i="19"/>
  <c r="B27" i="19"/>
  <c r="N26" i="19"/>
  <c r="AB26" i="19" s="1"/>
  <c r="L26" i="19"/>
  <c r="AA26" i="19" s="1"/>
  <c r="G26" i="19"/>
  <c r="B26" i="19"/>
  <c r="N25" i="19"/>
  <c r="AB25" i="19" s="1"/>
  <c r="L25" i="19"/>
  <c r="AA25" i="19" s="1"/>
  <c r="G25" i="19"/>
  <c r="B25" i="19"/>
  <c r="N24" i="19"/>
  <c r="AB24" i="19" s="1"/>
  <c r="L24" i="19"/>
  <c r="AA24" i="19" s="1"/>
  <c r="G24" i="19"/>
  <c r="B24" i="19"/>
  <c r="N23" i="19"/>
  <c r="AB23" i="19" s="1"/>
  <c r="L23" i="19"/>
  <c r="AA23" i="19" s="1"/>
  <c r="G23" i="19"/>
  <c r="B23" i="19"/>
  <c r="N22" i="19"/>
  <c r="AB22" i="19" s="1"/>
  <c r="L22" i="19"/>
  <c r="AA22" i="19" s="1"/>
  <c r="G22" i="19"/>
  <c r="B22" i="19"/>
  <c r="N21" i="19"/>
  <c r="AB21" i="19" s="1"/>
  <c r="L21" i="19"/>
  <c r="AA21" i="19" s="1"/>
  <c r="G21" i="19"/>
  <c r="B21" i="19"/>
  <c r="N20" i="19"/>
  <c r="AB20" i="19" s="1"/>
  <c r="L20" i="19"/>
  <c r="AA20" i="19" s="1"/>
  <c r="G20" i="19"/>
  <c r="B20" i="19"/>
  <c r="N19" i="19"/>
  <c r="AB19" i="19" s="1"/>
  <c r="L19" i="19"/>
  <c r="AA19" i="19" s="1"/>
  <c r="G19" i="19"/>
  <c r="B19" i="19"/>
  <c r="N18" i="19"/>
  <c r="AB18" i="19" s="1"/>
  <c r="L18" i="19"/>
  <c r="AA18" i="19" s="1"/>
  <c r="G18" i="19"/>
  <c r="B18" i="19"/>
  <c r="N17" i="19"/>
  <c r="AB17" i="19" s="1"/>
  <c r="L17" i="19"/>
  <c r="AA17" i="19" s="1"/>
  <c r="G17" i="19"/>
  <c r="B17" i="19"/>
  <c r="N16" i="19"/>
  <c r="AB16" i="19" s="1"/>
  <c r="L16" i="19"/>
  <c r="AA16" i="19" s="1"/>
  <c r="G16" i="19"/>
  <c r="B16" i="19"/>
  <c r="N15" i="19"/>
  <c r="AB15" i="19" s="1"/>
  <c r="L15" i="19"/>
  <c r="AA15" i="19" s="1"/>
  <c r="G15" i="19"/>
  <c r="B15" i="19"/>
  <c r="N14" i="19"/>
  <c r="AB14" i="19" s="1"/>
  <c r="L14" i="19"/>
  <c r="AA14" i="19" s="1"/>
  <c r="G14" i="19"/>
  <c r="B14" i="19"/>
  <c r="N13" i="19"/>
  <c r="AB13" i="19" s="1"/>
  <c r="L13" i="19"/>
  <c r="AA13" i="19" s="1"/>
  <c r="G13" i="19"/>
  <c r="B13" i="19"/>
  <c r="N12" i="19"/>
  <c r="AB12" i="19" s="1"/>
  <c r="L12" i="19"/>
  <c r="AA12" i="19" s="1"/>
  <c r="G12" i="19"/>
  <c r="B12" i="19"/>
  <c r="N11" i="19"/>
  <c r="AB11" i="19" s="1"/>
  <c r="L11" i="19"/>
  <c r="AA11" i="19" s="1"/>
  <c r="G11" i="19"/>
  <c r="B11" i="19"/>
  <c r="N10" i="19"/>
  <c r="AB10" i="19" s="1"/>
  <c r="L10" i="19"/>
  <c r="AA10" i="19" s="1"/>
  <c r="G10" i="19"/>
  <c r="B10" i="19"/>
  <c r="N9" i="19"/>
  <c r="AB9" i="19" s="1"/>
  <c r="L9" i="19"/>
  <c r="AA9" i="19" s="1"/>
  <c r="G9" i="19"/>
  <c r="B9" i="19"/>
  <c r="N8" i="19"/>
  <c r="AB8" i="19" s="1"/>
  <c r="L8" i="19"/>
  <c r="AA8" i="19" s="1"/>
  <c r="G8" i="19"/>
  <c r="B8" i="19"/>
  <c r="N7" i="19"/>
  <c r="AB7" i="19" s="1"/>
  <c r="L7" i="19"/>
  <c r="AA7" i="19" s="1"/>
  <c r="G7" i="19"/>
  <c r="E7" i="19"/>
  <c r="B7" i="19"/>
  <c r="BV17" i="34"/>
  <c r="BU17" i="34"/>
  <c r="AZ114" i="34"/>
  <c r="AX114" i="34"/>
  <c r="L114" i="34"/>
  <c r="I114" i="34"/>
  <c r="H114" i="34"/>
  <c r="G114" i="34"/>
  <c r="F114" i="34"/>
  <c r="C114" i="34"/>
  <c r="B114" i="34"/>
  <c r="BD113" i="34"/>
  <c r="J113" i="34"/>
  <c r="N113" i="34" s="1"/>
  <c r="BD112" i="34"/>
  <c r="J112" i="34"/>
  <c r="N112" i="34" s="1"/>
  <c r="BD111" i="34"/>
  <c r="J111" i="34"/>
  <c r="N111" i="34" s="1"/>
  <c r="BD110" i="34"/>
  <c r="J110" i="34"/>
  <c r="N110" i="34" s="1"/>
  <c r="BD109" i="34"/>
  <c r="J109" i="34"/>
  <c r="N109" i="34" s="1"/>
  <c r="BD108" i="34"/>
  <c r="J108" i="34"/>
  <c r="N108" i="34" s="1"/>
  <c r="BD107" i="34"/>
  <c r="J107" i="34"/>
  <c r="N107" i="34" s="1"/>
  <c r="BD106" i="34"/>
  <c r="J106" i="34"/>
  <c r="N106" i="34" s="1"/>
  <c r="BD105" i="34"/>
  <c r="J105" i="34"/>
  <c r="N105" i="34" s="1"/>
  <c r="BD104" i="34"/>
  <c r="J104" i="34"/>
  <c r="N104" i="34" s="1"/>
  <c r="BD103" i="34"/>
  <c r="J103" i="34"/>
  <c r="N103" i="34" s="1"/>
  <c r="BD102" i="34"/>
  <c r="J102" i="34"/>
  <c r="N102" i="34" s="1"/>
  <c r="BD101" i="34"/>
  <c r="J101" i="34"/>
  <c r="N101" i="34" s="1"/>
  <c r="BD100" i="34"/>
  <c r="J100" i="34"/>
  <c r="N100" i="34" s="1"/>
  <c r="BD99" i="34"/>
  <c r="J99" i="34"/>
  <c r="N99" i="34" s="1"/>
  <c r="BD98" i="34"/>
  <c r="J98" i="34"/>
  <c r="N98" i="34" s="1"/>
  <c r="BD97" i="34"/>
  <c r="J97" i="34"/>
  <c r="N97" i="34" s="1"/>
  <c r="BD96" i="34"/>
  <c r="J96" i="34"/>
  <c r="N96" i="34" s="1"/>
  <c r="BD95" i="34"/>
  <c r="J95" i="34"/>
  <c r="N95" i="34" s="1"/>
  <c r="BD94" i="34"/>
  <c r="J94" i="34"/>
  <c r="N94" i="34" s="1"/>
  <c r="BD93" i="34"/>
  <c r="J93" i="34"/>
  <c r="N93" i="34" s="1"/>
  <c r="BD92" i="34"/>
  <c r="J92" i="34"/>
  <c r="N92" i="34" s="1"/>
  <c r="BD91" i="34"/>
  <c r="J91" i="34"/>
  <c r="N91" i="34" s="1"/>
  <c r="BD90" i="34"/>
  <c r="J90" i="34"/>
  <c r="N90" i="34" s="1"/>
  <c r="BD89" i="34"/>
  <c r="J89" i="34"/>
  <c r="N89" i="34" s="1"/>
  <c r="BD88" i="34"/>
  <c r="J88" i="34"/>
  <c r="N88" i="34" s="1"/>
  <c r="BD87" i="34"/>
  <c r="J87" i="34"/>
  <c r="N87" i="34" s="1"/>
  <c r="BD86" i="34"/>
  <c r="J86" i="34"/>
  <c r="N86" i="34" s="1"/>
  <c r="BD85" i="34"/>
  <c r="J85" i="34"/>
  <c r="N85" i="34" s="1"/>
  <c r="BD84" i="34"/>
  <c r="J84" i="34"/>
  <c r="N84" i="34" s="1"/>
  <c r="BD83" i="34"/>
  <c r="J83" i="34"/>
  <c r="N83" i="34" s="1"/>
  <c r="BD82" i="34"/>
  <c r="J82" i="34"/>
  <c r="N82" i="34" s="1"/>
  <c r="BD81" i="34"/>
  <c r="J81" i="34"/>
  <c r="N81" i="34" s="1"/>
  <c r="BD80" i="34"/>
  <c r="J80" i="34"/>
  <c r="N80" i="34" s="1"/>
  <c r="BD79" i="34"/>
  <c r="J79" i="34"/>
  <c r="N79" i="34" s="1"/>
  <c r="BD78" i="34"/>
  <c r="J78" i="34"/>
  <c r="N78" i="34" s="1"/>
  <c r="BD77" i="34"/>
  <c r="J77" i="34"/>
  <c r="N77" i="34" s="1"/>
  <c r="BD76" i="34"/>
  <c r="J76" i="34"/>
  <c r="N76" i="34" s="1"/>
  <c r="BD75" i="34"/>
  <c r="J75" i="34"/>
  <c r="N75" i="34" s="1"/>
  <c r="BD74" i="34"/>
  <c r="J74" i="34"/>
  <c r="N74" i="34" s="1"/>
  <c r="BD73" i="34"/>
  <c r="J73" i="34"/>
  <c r="N73" i="34" s="1"/>
  <c r="BD72" i="34"/>
  <c r="J72" i="34"/>
  <c r="N72" i="34" s="1"/>
  <c r="BD71" i="34"/>
  <c r="J71" i="34"/>
  <c r="N71" i="34" s="1"/>
  <c r="BD70" i="34"/>
  <c r="J70" i="34"/>
  <c r="N70" i="34" s="1"/>
  <c r="BD69" i="34"/>
  <c r="J69" i="34"/>
  <c r="N69" i="34" s="1"/>
  <c r="BD68" i="34"/>
  <c r="J68" i="34"/>
  <c r="N68" i="34" s="1"/>
  <c r="BD67" i="34"/>
  <c r="J67" i="34"/>
  <c r="N67" i="34" s="1"/>
  <c r="BD66" i="34"/>
  <c r="J66" i="34"/>
  <c r="N66" i="34" s="1"/>
  <c r="D66" i="34"/>
  <c r="D67" i="34" s="1"/>
  <c r="D68" i="34" s="1"/>
  <c r="D69" i="34" s="1"/>
  <c r="D70" i="34" s="1"/>
  <c r="D71" i="34" s="1"/>
  <c r="D72" i="34" s="1"/>
  <c r="D73" i="34" s="1"/>
  <c r="D74" i="34" s="1"/>
  <c r="D75" i="34" s="1"/>
  <c r="D76" i="34" s="1"/>
  <c r="D77" i="34" s="1"/>
  <c r="D78" i="34" s="1"/>
  <c r="D79" i="34" s="1"/>
  <c r="D80" i="34" s="1"/>
  <c r="D81" i="34" s="1"/>
  <c r="D82" i="34" s="1"/>
  <c r="D83" i="34" s="1"/>
  <c r="D84" i="34" s="1"/>
  <c r="D85" i="34" s="1"/>
  <c r="D86" i="34" s="1"/>
  <c r="D87" i="34" s="1"/>
  <c r="D88" i="34" s="1"/>
  <c r="D89" i="34" s="1"/>
  <c r="D90" i="34" s="1"/>
  <c r="D91" i="34" s="1"/>
  <c r="D92" i="34" s="1"/>
  <c r="D93" i="34" s="1"/>
  <c r="D94" i="34" s="1"/>
  <c r="D95" i="34" s="1"/>
  <c r="D96" i="34" s="1"/>
  <c r="D97" i="34" s="1"/>
  <c r="D98" i="34" s="1"/>
  <c r="D99" i="34" s="1"/>
  <c r="D100" i="34" s="1"/>
  <c r="D101" i="34" s="1"/>
  <c r="D102" i="34" s="1"/>
  <c r="D103" i="34" s="1"/>
  <c r="D104" i="34" s="1"/>
  <c r="D105" i="34" s="1"/>
  <c r="D106" i="34" s="1"/>
  <c r="D107" i="34" s="1"/>
  <c r="D108" i="34" s="1"/>
  <c r="D109" i="34" s="1"/>
  <c r="D110" i="34" s="1"/>
  <c r="D111" i="34" s="1"/>
  <c r="D112" i="34" s="1"/>
  <c r="D113" i="34" s="1"/>
  <c r="C119" i="34" s="1"/>
  <c r="BL70" i="34"/>
  <c r="BD65" i="34"/>
  <c r="J65" i="34"/>
  <c r="N65" i="34" s="1"/>
  <c r="BD64" i="34"/>
  <c r="J64" i="34"/>
  <c r="N64" i="34" s="1"/>
  <c r="BD63" i="34"/>
  <c r="J63" i="34"/>
  <c r="N63" i="34" s="1"/>
  <c r="BD62" i="34"/>
  <c r="J62" i="34"/>
  <c r="N62" i="34" s="1"/>
  <c r="BD61" i="34"/>
  <c r="J61" i="34"/>
  <c r="N61" i="34" s="1"/>
  <c r="BD60" i="34"/>
  <c r="J60" i="34"/>
  <c r="N60" i="34" s="1"/>
  <c r="BD59" i="34"/>
  <c r="J59" i="34"/>
  <c r="N59" i="34" s="1"/>
  <c r="BD58" i="34"/>
  <c r="J58" i="34"/>
  <c r="N58" i="34" s="1"/>
  <c r="BD57" i="34"/>
  <c r="J57" i="34"/>
  <c r="N57" i="34" s="1"/>
  <c r="BD56" i="34"/>
  <c r="J56" i="34"/>
  <c r="N56" i="34" s="1"/>
  <c r="BD55" i="34"/>
  <c r="J55" i="34"/>
  <c r="N55" i="34" s="1"/>
  <c r="BD54" i="34"/>
  <c r="J54" i="34"/>
  <c r="N54" i="34" s="1"/>
  <c r="BD53" i="34"/>
  <c r="J53" i="34"/>
  <c r="N53" i="34" s="1"/>
  <c r="BD52" i="34"/>
  <c r="J52" i="34"/>
  <c r="N52" i="34" s="1"/>
  <c r="BD51" i="34"/>
  <c r="J51" i="34"/>
  <c r="N51" i="34" s="1"/>
  <c r="BD50" i="34"/>
  <c r="J50" i="34"/>
  <c r="N50" i="34" s="1"/>
  <c r="BD49" i="34"/>
  <c r="J49" i="34"/>
  <c r="N49" i="34" s="1"/>
  <c r="BD48" i="34"/>
  <c r="J48" i="34"/>
  <c r="N48" i="34" s="1"/>
  <c r="BD47" i="34"/>
  <c r="J47" i="34"/>
  <c r="N47" i="34" s="1"/>
  <c r="BD46" i="34"/>
  <c r="J46" i="34"/>
  <c r="N46" i="34" s="1"/>
  <c r="BD45" i="34"/>
  <c r="J45" i="34"/>
  <c r="N45" i="34" s="1"/>
  <c r="BD44" i="34"/>
  <c r="J44" i="34"/>
  <c r="N44" i="34" s="1"/>
  <c r="BD43" i="34"/>
  <c r="J43" i="34"/>
  <c r="N43" i="34" s="1"/>
  <c r="BD42" i="34"/>
  <c r="J42" i="34"/>
  <c r="N42" i="34" s="1"/>
  <c r="BD41" i="34"/>
  <c r="J41" i="34"/>
  <c r="N41" i="34" s="1"/>
  <c r="BD40" i="34"/>
  <c r="J40" i="34"/>
  <c r="N40" i="34" s="1"/>
  <c r="BD39" i="34"/>
  <c r="J39" i="34"/>
  <c r="N39" i="34" s="1"/>
  <c r="D39" i="34"/>
  <c r="D40" i="34" s="1"/>
  <c r="D41" i="34" s="1"/>
  <c r="D42" i="34" s="1"/>
  <c r="D43" i="34" s="1"/>
  <c r="D44" i="34" s="1"/>
  <c r="D45" i="34" s="1"/>
  <c r="D46" i="34" s="1"/>
  <c r="D47" i="34" s="1"/>
  <c r="D48" i="34" s="1"/>
  <c r="D49" i="34" s="1"/>
  <c r="D50" i="34" s="1"/>
  <c r="D51" i="34" s="1"/>
  <c r="D52" i="34" s="1"/>
  <c r="D53" i="34" s="1"/>
  <c r="D54" i="34" s="1"/>
  <c r="D55" i="34" s="1"/>
  <c r="D56" i="34" s="1"/>
  <c r="D57" i="34" s="1"/>
  <c r="D58" i="34" s="1"/>
  <c r="D59" i="34" s="1"/>
  <c r="D60" i="34" s="1"/>
  <c r="D61" i="34" s="1"/>
  <c r="D62" i="34" s="1"/>
  <c r="D63" i="34" s="1"/>
  <c r="D64" i="34" s="1"/>
  <c r="C118" i="34" s="1"/>
  <c r="BL50" i="34"/>
  <c r="BD38" i="34"/>
  <c r="J38" i="34"/>
  <c r="N38" i="34" s="1"/>
  <c r="BD37" i="34"/>
  <c r="J37" i="34"/>
  <c r="N37" i="34" s="1"/>
  <c r="BD36" i="34"/>
  <c r="J36" i="34"/>
  <c r="N36" i="34" s="1"/>
  <c r="BD35" i="34"/>
  <c r="J35" i="34"/>
  <c r="N35" i="34" s="1"/>
  <c r="BD34" i="34"/>
  <c r="J34" i="34"/>
  <c r="N34" i="34" s="1"/>
  <c r="BD33" i="34"/>
  <c r="J33" i="34"/>
  <c r="N33" i="34" s="1"/>
  <c r="BD32" i="34"/>
  <c r="J32" i="34"/>
  <c r="N32" i="34" s="1"/>
  <c r="BD31" i="34"/>
  <c r="J31" i="34"/>
  <c r="N31" i="34" s="1"/>
  <c r="BD30" i="34"/>
  <c r="J30" i="34"/>
  <c r="N30" i="34" s="1"/>
  <c r="BD29" i="34"/>
  <c r="J29" i="34"/>
  <c r="N29" i="34" s="1"/>
  <c r="BD28" i="34"/>
  <c r="J28" i="34"/>
  <c r="N28" i="34" s="1"/>
  <c r="BD27" i="34"/>
  <c r="J27" i="34"/>
  <c r="N27" i="34" s="1"/>
  <c r="BD26" i="34"/>
  <c r="J26" i="34"/>
  <c r="N26" i="34" s="1"/>
  <c r="BD25" i="34"/>
  <c r="J25" i="34"/>
  <c r="N25" i="34" s="1"/>
  <c r="BD24" i="34"/>
  <c r="J24" i="34"/>
  <c r="N24" i="34" s="1"/>
  <c r="BD23" i="34"/>
  <c r="J23" i="34"/>
  <c r="N23" i="34" s="1"/>
  <c r="BD22" i="34"/>
  <c r="J22" i="34"/>
  <c r="N22" i="34" s="1"/>
  <c r="BD21" i="34"/>
  <c r="J21" i="34"/>
  <c r="N21" i="34" s="1"/>
  <c r="BD20" i="34"/>
  <c r="J20" i="34"/>
  <c r="N20" i="34" s="1"/>
  <c r="BD19" i="34"/>
  <c r="J19" i="34"/>
  <c r="N19" i="34" s="1"/>
  <c r="BD18" i="34"/>
  <c r="J18" i="34"/>
  <c r="N18" i="34" s="1"/>
  <c r="BD17" i="34"/>
  <c r="J17" i="34"/>
  <c r="N17" i="34" s="1"/>
  <c r="BD16" i="34"/>
  <c r="J16" i="34"/>
  <c r="N16" i="34" s="1"/>
  <c r="BD15" i="34"/>
  <c r="J15" i="34"/>
  <c r="N15" i="34" s="1"/>
  <c r="BD14" i="34"/>
  <c r="J14" i="34"/>
  <c r="N14" i="34" s="1"/>
  <c r="BD13" i="34"/>
  <c r="J13" i="34"/>
  <c r="N13" i="34" s="1"/>
  <c r="D13" i="34"/>
  <c r="D14" i="34" s="1"/>
  <c r="D15" i="34" s="1"/>
  <c r="D16" i="34" s="1"/>
  <c r="D17" i="34" s="1"/>
  <c r="D18" i="34" s="1"/>
  <c r="D19" i="34" s="1"/>
  <c r="D20" i="34" s="1"/>
  <c r="D21" i="34" s="1"/>
  <c r="D22" i="34" s="1"/>
  <c r="D23" i="34" s="1"/>
  <c r="D24" i="34" s="1"/>
  <c r="D25" i="34" s="1"/>
  <c r="D26" i="34" s="1"/>
  <c r="D27" i="34" s="1"/>
  <c r="D28" i="34" s="1"/>
  <c r="D29" i="34" s="1"/>
  <c r="D30" i="34" s="1"/>
  <c r="D31" i="34" s="1"/>
  <c r="D32" i="34" s="1"/>
  <c r="D33" i="34" s="1"/>
  <c r="D34" i="34" s="1"/>
  <c r="D35" i="34" s="1"/>
  <c r="D36" i="34" s="1"/>
  <c r="D37" i="34" s="1"/>
  <c r="C117" i="34" s="1"/>
  <c r="A13" i="34"/>
  <c r="A14" i="34" s="1"/>
  <c r="A15" i="34" s="1"/>
  <c r="A16" i="34" s="1"/>
  <c r="A17" i="34" s="1"/>
  <c r="A18" i="34" s="1"/>
  <c r="A19" i="34" s="1"/>
  <c r="A20" i="34" s="1"/>
  <c r="A21" i="34" s="1"/>
  <c r="A22" i="34" s="1"/>
  <c r="A23" i="34" s="1"/>
  <c r="A24" i="34" s="1"/>
  <c r="A25" i="34" s="1"/>
  <c r="A26" i="34" s="1"/>
  <c r="A27" i="34" s="1"/>
  <c r="A28" i="34" s="1"/>
  <c r="A29" i="34" s="1"/>
  <c r="A30" i="34" s="1"/>
  <c r="A31" i="34" s="1"/>
  <c r="A32" i="34" s="1"/>
  <c r="A33" i="34" s="1"/>
  <c r="A34" i="34" s="1"/>
  <c r="A35" i="34" s="1"/>
  <c r="A36" i="34" s="1"/>
  <c r="A37" i="34" s="1"/>
  <c r="A38" i="34" s="1"/>
  <c r="A39" i="34" s="1"/>
  <c r="A40" i="34" s="1"/>
  <c r="A41" i="34" s="1"/>
  <c r="A42" i="34" s="1"/>
  <c r="A43" i="34" s="1"/>
  <c r="A44" i="34" s="1"/>
  <c r="A45" i="34" s="1"/>
  <c r="A46" i="34" s="1"/>
  <c r="A47" i="34" s="1"/>
  <c r="A48" i="34" s="1"/>
  <c r="A49" i="34" s="1"/>
  <c r="A50" i="34" s="1"/>
  <c r="A51" i="34" s="1"/>
  <c r="A52" i="34" s="1"/>
  <c r="A53" i="34" s="1"/>
  <c r="A54" i="34" s="1"/>
  <c r="A55" i="34" s="1"/>
  <c r="A56" i="34" s="1"/>
  <c r="A57" i="34" s="1"/>
  <c r="A58" i="34" s="1"/>
  <c r="A59" i="34" s="1"/>
  <c r="A60" i="34" s="1"/>
  <c r="A61" i="34" s="1"/>
  <c r="A62" i="34" s="1"/>
  <c r="A63" i="34" s="1"/>
  <c r="A64" i="34" s="1"/>
  <c r="A65" i="34" s="1"/>
  <c r="A66" i="34" s="1"/>
  <c r="A67" i="34" s="1"/>
  <c r="A68" i="34" s="1"/>
  <c r="A69" i="34" s="1"/>
  <c r="A70" i="34" s="1"/>
  <c r="A71" i="34" s="1"/>
  <c r="A72" i="34" s="1"/>
  <c r="A73" i="34" s="1"/>
  <c r="A74" i="34" s="1"/>
  <c r="A75" i="34" s="1"/>
  <c r="A76" i="34" s="1"/>
  <c r="A77" i="34" s="1"/>
  <c r="A78" i="34" s="1"/>
  <c r="A79" i="34" s="1"/>
  <c r="A80" i="34" s="1"/>
  <c r="A81" i="34" s="1"/>
  <c r="A82" i="34" s="1"/>
  <c r="A83" i="34" s="1"/>
  <c r="A84" i="34" s="1"/>
  <c r="A85" i="34" s="1"/>
  <c r="A86" i="34" s="1"/>
  <c r="A87" i="34" s="1"/>
  <c r="A88" i="34" s="1"/>
  <c r="A89" i="34" s="1"/>
  <c r="A90" i="34" s="1"/>
  <c r="A91" i="34" s="1"/>
  <c r="A92" i="34" s="1"/>
  <c r="A93" i="34" s="1"/>
  <c r="A94" i="34" s="1"/>
  <c r="A95" i="34" s="1"/>
  <c r="A96" i="34" s="1"/>
  <c r="A97" i="34" s="1"/>
  <c r="A98" i="34" s="1"/>
  <c r="A99" i="34" s="1"/>
  <c r="A100" i="34" s="1"/>
  <c r="A101" i="34" s="1"/>
  <c r="A102" i="34" s="1"/>
  <c r="A103" i="34" s="1"/>
  <c r="A104" i="34" s="1"/>
  <c r="A105" i="34" s="1"/>
  <c r="A106" i="34" s="1"/>
  <c r="A107" i="34" s="1"/>
  <c r="A108" i="34" s="1"/>
  <c r="A109" i="34" s="1"/>
  <c r="A110" i="34" s="1"/>
  <c r="A111" i="34" s="1"/>
  <c r="A112" i="34" s="1"/>
  <c r="A113" i="34" s="1"/>
  <c r="BD12" i="34"/>
  <c r="J12" i="34"/>
  <c r="N12" i="34" s="1"/>
  <c r="X12" i="22"/>
  <c r="AC35" i="22"/>
  <c r="AC34" i="22"/>
  <c r="G52" i="33"/>
  <c r="B52" i="33"/>
  <c r="Q26" i="33"/>
  <c r="L26" i="33"/>
  <c r="E7" i="33"/>
  <c r="O7" i="33" s="1"/>
  <c r="E6" i="33"/>
  <c r="O6" i="33" s="1"/>
  <c r="C1" i="33"/>
  <c r="M1" i="33" s="1"/>
  <c r="O72" i="34" l="1"/>
  <c r="O45" i="34"/>
  <c r="P45" i="34" s="1"/>
  <c r="O19" i="34"/>
  <c r="P19" i="34" s="1"/>
  <c r="O23" i="34"/>
  <c r="P23" i="34" s="1"/>
  <c r="O27" i="34"/>
  <c r="P27" i="34" s="1"/>
  <c r="O73" i="34"/>
  <c r="P73" i="34" s="1"/>
  <c r="O85" i="34"/>
  <c r="P85" i="34" s="1"/>
  <c r="O93" i="34"/>
  <c r="P93" i="34" s="1"/>
  <c r="O61" i="34"/>
  <c r="P61" i="34" s="1"/>
  <c r="O36" i="34"/>
  <c r="P36" i="34" s="1"/>
  <c r="O51" i="34"/>
  <c r="P51" i="34" s="1"/>
  <c r="O63" i="34"/>
  <c r="P63" i="34" s="1"/>
  <c r="O74" i="34"/>
  <c r="P74" i="34" s="1"/>
  <c r="O78" i="34"/>
  <c r="P78" i="34" s="1"/>
  <c r="O38" i="34"/>
  <c r="P38" i="34" s="1"/>
  <c r="O17" i="34"/>
  <c r="P17" i="34" s="1"/>
  <c r="O25" i="34"/>
  <c r="P25" i="34" s="1"/>
  <c r="O29" i="34"/>
  <c r="P29" i="34" s="1"/>
  <c r="O33" i="34"/>
  <c r="P33" i="34" s="1"/>
  <c r="O37" i="34"/>
  <c r="P37" i="34" s="1"/>
  <c r="O71" i="34"/>
  <c r="P71" i="34" s="1"/>
  <c r="O75" i="34"/>
  <c r="P75" i="34" s="1"/>
  <c r="O79" i="34"/>
  <c r="P79" i="34" s="1"/>
  <c r="O95" i="34"/>
  <c r="P95" i="34" s="1"/>
  <c r="O99" i="34"/>
  <c r="P99" i="34" s="1"/>
  <c r="M60" i="23"/>
  <c r="K60" i="23"/>
  <c r="O83" i="34"/>
  <c r="P83" i="34" s="1"/>
  <c r="BO38" i="34"/>
  <c r="BP38" i="34" s="1"/>
  <c r="BL48" i="34"/>
  <c r="BO48" i="34" s="1"/>
  <c r="O35" i="34"/>
  <c r="P35" i="34" s="1"/>
  <c r="O31" i="34"/>
  <c r="P31" i="34" s="1"/>
  <c r="O21" i="34"/>
  <c r="P21" i="34" s="1"/>
  <c r="BL39" i="34"/>
  <c r="BD114" i="34"/>
  <c r="BL54" i="34"/>
  <c r="BO54" i="34" s="1"/>
  <c r="BL68" i="34"/>
  <c r="BO68" i="34" s="1"/>
  <c r="BL52" i="34"/>
  <c r="BO52" i="34" s="1"/>
  <c r="BL64" i="34"/>
  <c r="BO64" i="34" s="1"/>
  <c r="BL66" i="34"/>
  <c r="BO66" i="34" s="1"/>
  <c r="BL98" i="34"/>
  <c r="BO98" i="34" s="1"/>
  <c r="O112" i="34"/>
  <c r="BL41" i="34"/>
  <c r="BL58" i="34"/>
  <c r="BO58" i="34" s="1"/>
  <c r="BL97" i="34"/>
  <c r="O40" i="34"/>
  <c r="P40" i="34" s="1"/>
  <c r="O15" i="34"/>
  <c r="P15" i="34" s="1"/>
  <c r="O42" i="34"/>
  <c r="O22" i="34"/>
  <c r="P22" i="34" s="1"/>
  <c r="O13" i="34"/>
  <c r="O26" i="34"/>
  <c r="P26" i="34" s="1"/>
  <c r="O32" i="34"/>
  <c r="P32" i="34" s="1"/>
  <c r="O16" i="34"/>
  <c r="O30" i="34"/>
  <c r="P30" i="34" s="1"/>
  <c r="O14" i="34"/>
  <c r="P14" i="34" s="1"/>
  <c r="O77" i="34"/>
  <c r="O28" i="34"/>
  <c r="P28" i="34" s="1"/>
  <c r="O18" i="34"/>
  <c r="O58" i="34"/>
  <c r="P58" i="34" s="1"/>
  <c r="O24" i="34"/>
  <c r="P24" i="34" s="1"/>
  <c r="O34" i="34"/>
  <c r="P34" i="34" s="1"/>
  <c r="O39" i="34"/>
  <c r="O53" i="34"/>
  <c r="O62" i="34"/>
  <c r="P62" i="34" s="1"/>
  <c r="O57" i="34"/>
  <c r="P57" i="34" s="1"/>
  <c r="O52" i="34"/>
  <c r="O56" i="34"/>
  <c r="O20" i="34"/>
  <c r="P20" i="34" s="1"/>
  <c r="BO50" i="34"/>
  <c r="BM50" i="34"/>
  <c r="O47" i="34"/>
  <c r="O81" i="34"/>
  <c r="P81" i="34" s="1"/>
  <c r="O84" i="34"/>
  <c r="P84" i="34" s="1"/>
  <c r="J114" i="34"/>
  <c r="O43" i="34"/>
  <c r="O46" i="34"/>
  <c r="BO70" i="34"/>
  <c r="BM70" i="34"/>
  <c r="O41" i="34"/>
  <c r="P41" i="34" s="1"/>
  <c r="O109" i="34"/>
  <c r="BL44" i="34"/>
  <c r="O48" i="34"/>
  <c r="P48" i="34" s="1"/>
  <c r="BL60" i="34"/>
  <c r="O64" i="34"/>
  <c r="P64" i="34" s="1"/>
  <c r="O91" i="34"/>
  <c r="P91" i="34" s="1"/>
  <c r="O54" i="34"/>
  <c r="O59" i="34"/>
  <c r="P59" i="34" s="1"/>
  <c r="O65" i="34"/>
  <c r="O67" i="34"/>
  <c r="BL63" i="34"/>
  <c r="BL61" i="34"/>
  <c r="BL59" i="34"/>
  <c r="BL57" i="34"/>
  <c r="BL55" i="34"/>
  <c r="BL53" i="34"/>
  <c r="BL51" i="34"/>
  <c r="BL49" i="34"/>
  <c r="BL47" i="34"/>
  <c r="BL45" i="34"/>
  <c r="BL43" i="34"/>
  <c r="BL40" i="34"/>
  <c r="BL42" i="34"/>
  <c r="O44" i="34"/>
  <c r="P44" i="34" s="1"/>
  <c r="O49" i="34"/>
  <c r="P49" i="34" s="1"/>
  <c r="BL56" i="34"/>
  <c r="O60" i="34"/>
  <c r="P60" i="34" s="1"/>
  <c r="O89" i="34"/>
  <c r="P89" i="34" s="1"/>
  <c r="O103" i="34"/>
  <c r="BM38" i="34"/>
  <c r="BL46" i="34"/>
  <c r="O50" i="34"/>
  <c r="P50" i="34" s="1"/>
  <c r="O55" i="34"/>
  <c r="P55" i="34" s="1"/>
  <c r="BL62" i="34"/>
  <c r="O69" i="34"/>
  <c r="P69" i="34" s="1"/>
  <c r="O92" i="34"/>
  <c r="P92" i="34" s="1"/>
  <c r="O101" i="34"/>
  <c r="O104" i="34"/>
  <c r="O111" i="34"/>
  <c r="BL85" i="34"/>
  <c r="BL86" i="34"/>
  <c r="BL93" i="34"/>
  <c r="BL94" i="34"/>
  <c r="BL105" i="34"/>
  <c r="BL106" i="34"/>
  <c r="BL112" i="34"/>
  <c r="BL113" i="34"/>
  <c r="BL71" i="34"/>
  <c r="BL69" i="34"/>
  <c r="BL111" i="34"/>
  <c r="BL107" i="34"/>
  <c r="BL103" i="34"/>
  <c r="BL99" i="34"/>
  <c r="BL95" i="34"/>
  <c r="BL91" i="34"/>
  <c r="BL87" i="34"/>
  <c r="BL83" i="34"/>
  <c r="BL108" i="34"/>
  <c r="BL104" i="34"/>
  <c r="BL100" i="34"/>
  <c r="BL96" i="34"/>
  <c r="BL92" i="34"/>
  <c r="BL88" i="34"/>
  <c r="BL84" i="34"/>
  <c r="BL80" i="34"/>
  <c r="BL78" i="34"/>
  <c r="BL76" i="34"/>
  <c r="BL74" i="34"/>
  <c r="BL79" i="34"/>
  <c r="BL77" i="34"/>
  <c r="BL75" i="34"/>
  <c r="BL73" i="34"/>
  <c r="O66" i="34"/>
  <c r="P66" i="34" s="1"/>
  <c r="BL67" i="34"/>
  <c r="O70" i="34"/>
  <c r="P70" i="34" s="1"/>
  <c r="O76" i="34"/>
  <c r="P76" i="34" s="1"/>
  <c r="O80" i="34"/>
  <c r="O88" i="34"/>
  <c r="O97" i="34"/>
  <c r="O100" i="34"/>
  <c r="O108" i="34"/>
  <c r="P108" i="34" s="1"/>
  <c r="BM65" i="34"/>
  <c r="O87" i="34"/>
  <c r="O107" i="34"/>
  <c r="P107" i="34" s="1"/>
  <c r="BO65" i="34"/>
  <c r="BP65" i="34" s="1"/>
  <c r="BL72" i="34"/>
  <c r="BL81" i="34"/>
  <c r="BL82" i="34"/>
  <c r="BL89" i="34"/>
  <c r="BL90" i="34"/>
  <c r="O96" i="34"/>
  <c r="BL101" i="34"/>
  <c r="BL102" i="34"/>
  <c r="O105" i="34"/>
  <c r="P105" i="34" s="1"/>
  <c r="BL109" i="34"/>
  <c r="BL110" i="34"/>
  <c r="O113" i="34"/>
  <c r="P113" i="34" s="1"/>
  <c r="O68" i="34"/>
  <c r="P68" i="34" s="1"/>
  <c r="O82" i="34"/>
  <c r="P82" i="34" s="1"/>
  <c r="O86" i="34"/>
  <c r="O90" i="34"/>
  <c r="O94" i="34"/>
  <c r="P94" i="34" s="1"/>
  <c r="O98" i="34"/>
  <c r="O102" i="34"/>
  <c r="P102" i="34" s="1"/>
  <c r="O106" i="34"/>
  <c r="P106" i="34" s="1"/>
  <c r="O110" i="34"/>
  <c r="P110" i="34" s="1"/>
  <c r="N15" i="33"/>
  <c r="N16" i="33" s="1"/>
  <c r="I97" i="25"/>
  <c r="P97" i="25"/>
  <c r="R66" i="34" l="1"/>
  <c r="T66" i="34" s="1"/>
  <c r="R55" i="34"/>
  <c r="T55" i="34" s="1"/>
  <c r="V55" i="34" s="1"/>
  <c r="W55" i="34" s="1"/>
  <c r="Y55" i="34" s="1"/>
  <c r="AA55" i="34" s="1"/>
  <c r="AC55" i="34" s="1"/>
  <c r="AE55" i="34" s="1"/>
  <c r="AG55" i="34" s="1"/>
  <c r="AI55" i="34" s="1"/>
  <c r="AK55" i="34" s="1"/>
  <c r="AM55" i="34" s="1"/>
  <c r="AO55" i="34" s="1"/>
  <c r="AQ55" i="34" s="1"/>
  <c r="AS55" i="34" s="1"/>
  <c r="AT55" i="34" s="1"/>
  <c r="R93" i="34"/>
  <c r="T93" i="34" s="1"/>
  <c r="V93" i="34" s="1"/>
  <c r="W93" i="34" s="1"/>
  <c r="Y93" i="34" s="1"/>
  <c r="AA93" i="34" s="1"/>
  <c r="AC93" i="34" s="1"/>
  <c r="AE93" i="34" s="1"/>
  <c r="AG93" i="34" s="1"/>
  <c r="AI93" i="34" s="1"/>
  <c r="AK93" i="34" s="1"/>
  <c r="AM93" i="34" s="1"/>
  <c r="AO93" i="34" s="1"/>
  <c r="AQ93" i="34" s="1"/>
  <c r="AS93" i="34" s="1"/>
  <c r="AT93" i="34" s="1"/>
  <c r="R30" i="34"/>
  <c r="T30" i="34" s="1"/>
  <c r="R73" i="34"/>
  <c r="T73" i="34" s="1"/>
  <c r="R94" i="34"/>
  <c r="T94" i="34" s="1"/>
  <c r="R91" i="34"/>
  <c r="T91" i="34" s="1"/>
  <c r="V91" i="34" s="1"/>
  <c r="W91" i="34" s="1"/>
  <c r="Y91" i="34" s="1"/>
  <c r="AA91" i="34" s="1"/>
  <c r="AC91" i="34" s="1"/>
  <c r="AE91" i="34" s="1"/>
  <c r="AG91" i="34" s="1"/>
  <c r="AI91" i="34" s="1"/>
  <c r="AK91" i="34" s="1"/>
  <c r="AM91" i="34" s="1"/>
  <c r="AO91" i="34" s="1"/>
  <c r="AQ91" i="34" s="1"/>
  <c r="AS91" i="34" s="1"/>
  <c r="AT91" i="34" s="1"/>
  <c r="R34" i="34"/>
  <c r="T34" i="34" s="1"/>
  <c r="V34" i="34" s="1"/>
  <c r="W34" i="34" s="1"/>
  <c r="Y34" i="34" s="1"/>
  <c r="AA34" i="34" s="1"/>
  <c r="AC34" i="34" s="1"/>
  <c r="AE34" i="34" s="1"/>
  <c r="AG34" i="34" s="1"/>
  <c r="AI34" i="34" s="1"/>
  <c r="AK34" i="34" s="1"/>
  <c r="AM34" i="34" s="1"/>
  <c r="AO34" i="34" s="1"/>
  <c r="AQ34" i="34" s="1"/>
  <c r="AS34" i="34" s="1"/>
  <c r="AT34" i="34" s="1"/>
  <c r="R71" i="34"/>
  <c r="R74" i="34"/>
  <c r="T74" i="34" s="1"/>
  <c r="V74" i="34" s="1"/>
  <c r="W74" i="34" s="1"/>
  <c r="Y74" i="34" s="1"/>
  <c r="AA74" i="34" s="1"/>
  <c r="R108" i="34"/>
  <c r="T108" i="34" s="1"/>
  <c r="R50" i="34"/>
  <c r="T50" i="34" s="1"/>
  <c r="V50" i="34" s="1"/>
  <c r="W50" i="34" s="1"/>
  <c r="Y50" i="34" s="1"/>
  <c r="AA50" i="34" s="1"/>
  <c r="AC50" i="34" s="1"/>
  <c r="AE50" i="34" s="1"/>
  <c r="AG50" i="34" s="1"/>
  <c r="AI50" i="34" s="1"/>
  <c r="AK50" i="34" s="1"/>
  <c r="AM50" i="34" s="1"/>
  <c r="R14" i="34"/>
  <c r="R38" i="34"/>
  <c r="T38" i="34" s="1"/>
  <c r="V38" i="34" s="1"/>
  <c r="W38" i="34" s="1"/>
  <c r="Y38" i="34" s="1"/>
  <c r="AA38" i="34" s="1"/>
  <c r="AC38" i="34" s="1"/>
  <c r="AE38" i="34" s="1"/>
  <c r="AG38" i="34" s="1"/>
  <c r="AI38" i="34" s="1"/>
  <c r="AK38" i="34" s="1"/>
  <c r="AM38" i="34" s="1"/>
  <c r="R64" i="34"/>
  <c r="T64" i="34" s="1"/>
  <c r="V64" i="34" s="1"/>
  <c r="W64" i="34" s="1"/>
  <c r="Y64" i="34" s="1"/>
  <c r="AA64" i="34" s="1"/>
  <c r="AC64" i="34" s="1"/>
  <c r="AE64" i="34" s="1"/>
  <c r="AG64" i="34" s="1"/>
  <c r="AI64" i="34" s="1"/>
  <c r="AK64" i="34" s="1"/>
  <c r="AM64" i="34" s="1"/>
  <c r="R20" i="34"/>
  <c r="T20" i="34" s="1"/>
  <c r="R24" i="34"/>
  <c r="T24" i="34" s="1"/>
  <c r="V24" i="34" s="1"/>
  <c r="W24" i="34" s="1"/>
  <c r="Y24" i="34" s="1"/>
  <c r="AA24" i="34" s="1"/>
  <c r="AC24" i="34" s="1"/>
  <c r="AE24" i="34" s="1"/>
  <c r="AG24" i="34" s="1"/>
  <c r="AI24" i="34" s="1"/>
  <c r="AK24" i="34" s="1"/>
  <c r="AM24" i="34" s="1"/>
  <c r="R32" i="34"/>
  <c r="T32" i="34" s="1"/>
  <c r="R83" i="34"/>
  <c r="T83" i="34" s="1"/>
  <c r="V83" i="34" s="1"/>
  <c r="W83" i="34" s="1"/>
  <c r="Y83" i="34" s="1"/>
  <c r="AA83" i="34" s="1"/>
  <c r="AC83" i="34" s="1"/>
  <c r="AE83" i="34" s="1"/>
  <c r="AG83" i="34" s="1"/>
  <c r="AI83" i="34" s="1"/>
  <c r="AK83" i="34" s="1"/>
  <c r="AM83" i="34" s="1"/>
  <c r="R63" i="34"/>
  <c r="T63" i="34" s="1"/>
  <c r="R106" i="34"/>
  <c r="T106" i="34" s="1"/>
  <c r="V106" i="34" s="1"/>
  <c r="W106" i="34" s="1"/>
  <c r="Y106" i="34" s="1"/>
  <c r="AA106" i="34" s="1"/>
  <c r="AC106" i="34" s="1"/>
  <c r="AE106" i="34" s="1"/>
  <c r="AG106" i="34" s="1"/>
  <c r="AI106" i="34" s="1"/>
  <c r="AK106" i="34" s="1"/>
  <c r="AM106" i="34" s="1"/>
  <c r="AO106" i="34" s="1"/>
  <c r="AQ106" i="34" s="1"/>
  <c r="AS106" i="34" s="1"/>
  <c r="AT106" i="34" s="1"/>
  <c r="R95" i="34"/>
  <c r="T95" i="34" s="1"/>
  <c r="R59" i="34"/>
  <c r="T59" i="34" s="1"/>
  <c r="R75" i="34"/>
  <c r="T75" i="34" s="1"/>
  <c r="R76" i="34"/>
  <c r="T76" i="34" s="1"/>
  <c r="R92" i="34"/>
  <c r="T92" i="34" s="1"/>
  <c r="V92" i="34" s="1"/>
  <c r="W92" i="34" s="1"/>
  <c r="Y92" i="34" s="1"/>
  <c r="AA92" i="34" s="1"/>
  <c r="AC92" i="34" s="1"/>
  <c r="AE92" i="34" s="1"/>
  <c r="AG92" i="34" s="1"/>
  <c r="AI92" i="34" s="1"/>
  <c r="AK92" i="34" s="1"/>
  <c r="AM92" i="34" s="1"/>
  <c r="AO92" i="34" s="1"/>
  <c r="AQ92" i="34" s="1"/>
  <c r="AS92" i="34" s="1"/>
  <c r="AT92" i="34" s="1"/>
  <c r="R58" i="34"/>
  <c r="R26" i="34"/>
  <c r="T26" i="34" s="1"/>
  <c r="R62" i="34"/>
  <c r="T62" i="34" s="1"/>
  <c r="V62" i="34" s="1"/>
  <c r="W62" i="34" s="1"/>
  <c r="Y62" i="34" s="1"/>
  <c r="AA62" i="34" s="1"/>
  <c r="AC62" i="34" s="1"/>
  <c r="AE62" i="34" s="1"/>
  <c r="AG62" i="34" s="1"/>
  <c r="AI62" i="34" s="1"/>
  <c r="AK62" i="34" s="1"/>
  <c r="AM62" i="34" s="1"/>
  <c r="AO62" i="34" s="1"/>
  <c r="AQ62" i="34" s="1"/>
  <c r="AS62" i="34" s="1"/>
  <c r="AT62" i="34" s="1"/>
  <c r="R44" i="34"/>
  <c r="T44" i="34" s="1"/>
  <c r="V44" i="34" s="1"/>
  <c r="W44" i="34" s="1"/>
  <c r="Y44" i="34" s="1"/>
  <c r="AA44" i="34" s="1"/>
  <c r="AC44" i="34" s="1"/>
  <c r="AE44" i="34" s="1"/>
  <c r="AG44" i="34" s="1"/>
  <c r="AI44" i="34" s="1"/>
  <c r="AK44" i="34" s="1"/>
  <c r="AM44" i="34" s="1"/>
  <c r="R35" i="34"/>
  <c r="R40" i="34"/>
  <c r="T40" i="34" s="1"/>
  <c r="R82" i="34"/>
  <c r="R70" i="34"/>
  <c r="T70" i="34" s="1"/>
  <c r="R69" i="34"/>
  <c r="T69" i="34" s="1"/>
  <c r="V69" i="34" s="1"/>
  <c r="W69" i="34" s="1"/>
  <c r="Y69" i="34" s="1"/>
  <c r="AA69" i="34" s="1"/>
  <c r="AC69" i="34" s="1"/>
  <c r="AE69" i="34" s="1"/>
  <c r="AG69" i="34" s="1"/>
  <c r="AI69" i="34" s="1"/>
  <c r="AK69" i="34" s="1"/>
  <c r="AM69" i="34" s="1"/>
  <c r="R60" i="34"/>
  <c r="T60" i="34" s="1"/>
  <c r="V60" i="34" s="1"/>
  <c r="W60" i="34" s="1"/>
  <c r="Y60" i="34" s="1"/>
  <c r="AA60" i="34" s="1"/>
  <c r="AC60" i="34" s="1"/>
  <c r="AE60" i="34" s="1"/>
  <c r="AG60" i="34" s="1"/>
  <c r="AI60" i="34" s="1"/>
  <c r="AK60" i="34" s="1"/>
  <c r="AM60" i="34" s="1"/>
  <c r="AO60" i="34" s="1"/>
  <c r="AQ60" i="34" s="1"/>
  <c r="AS60" i="34" s="1"/>
  <c r="AT60" i="34" s="1"/>
  <c r="R48" i="34"/>
  <c r="R36" i="34"/>
  <c r="T36" i="34" s="1"/>
  <c r="V36" i="34" s="1"/>
  <c r="W36" i="34" s="1"/>
  <c r="Y36" i="34" s="1"/>
  <c r="AA36" i="34" s="1"/>
  <c r="AC36" i="34" s="1"/>
  <c r="AE36" i="34" s="1"/>
  <c r="AG36" i="34" s="1"/>
  <c r="AI36" i="34" s="1"/>
  <c r="AK36" i="34" s="1"/>
  <c r="AM36" i="34" s="1"/>
  <c r="AO36" i="34" s="1"/>
  <c r="AQ36" i="34" s="1"/>
  <c r="AS36" i="34" s="1"/>
  <c r="AT36" i="34" s="1"/>
  <c r="R102" i="34"/>
  <c r="T102" i="34" s="1"/>
  <c r="V102" i="34" s="1"/>
  <c r="W102" i="34" s="1"/>
  <c r="Y102" i="34" s="1"/>
  <c r="AA102" i="34" s="1"/>
  <c r="AC102" i="34" s="1"/>
  <c r="AE102" i="34" s="1"/>
  <c r="AG102" i="34" s="1"/>
  <c r="AI102" i="34" s="1"/>
  <c r="AK102" i="34" s="1"/>
  <c r="AM102" i="34" s="1"/>
  <c r="AO102" i="34" s="1"/>
  <c r="AQ102" i="34" s="1"/>
  <c r="AS102" i="34" s="1"/>
  <c r="AT102" i="34" s="1"/>
  <c r="R85" i="34"/>
  <c r="T85" i="34" s="1"/>
  <c r="V85" i="34" s="1"/>
  <c r="W85" i="34" s="1"/>
  <c r="Y85" i="34" s="1"/>
  <c r="AA85" i="34" s="1"/>
  <c r="AC85" i="34" s="1"/>
  <c r="AE85" i="34" s="1"/>
  <c r="AG85" i="34" s="1"/>
  <c r="AI85" i="34" s="1"/>
  <c r="AK85" i="34" s="1"/>
  <c r="AM85" i="34" s="1"/>
  <c r="R78" i="34"/>
  <c r="T78" i="34" s="1"/>
  <c r="V78" i="34" s="1"/>
  <c r="W78" i="34" s="1"/>
  <c r="Y78" i="34" s="1"/>
  <c r="AA78" i="34" s="1"/>
  <c r="AC78" i="34" s="1"/>
  <c r="AE78" i="34" s="1"/>
  <c r="AG78" i="34" s="1"/>
  <c r="AI78" i="34" s="1"/>
  <c r="AK78" i="34" s="1"/>
  <c r="AM78" i="34" s="1"/>
  <c r="AO78" i="34" s="1"/>
  <c r="AQ78" i="34" s="1"/>
  <c r="AS78" i="34" s="1"/>
  <c r="AT78" i="34" s="1"/>
  <c r="R110" i="34"/>
  <c r="T110" i="34" s="1"/>
  <c r="V110" i="34" s="1"/>
  <c r="W110" i="34" s="1"/>
  <c r="Y110" i="34" s="1"/>
  <c r="AA110" i="34" s="1"/>
  <c r="AC110" i="34" s="1"/>
  <c r="AE110" i="34" s="1"/>
  <c r="AG110" i="34" s="1"/>
  <c r="AI110" i="34" s="1"/>
  <c r="AK110" i="34" s="1"/>
  <c r="AM110" i="34" s="1"/>
  <c r="AO110" i="34" s="1"/>
  <c r="AQ110" i="34" s="1"/>
  <c r="AS110" i="34" s="1"/>
  <c r="AT110" i="34" s="1"/>
  <c r="R68" i="34"/>
  <c r="T68" i="34" s="1"/>
  <c r="R84" i="34"/>
  <c r="T84" i="34" s="1"/>
  <c r="V84" i="34" s="1"/>
  <c r="W84" i="34" s="1"/>
  <c r="Y84" i="34" s="1"/>
  <c r="AA84" i="34" s="1"/>
  <c r="AC84" i="34" s="1"/>
  <c r="AE84" i="34" s="1"/>
  <c r="AG84" i="34" s="1"/>
  <c r="AI84" i="34" s="1"/>
  <c r="AK84" i="34" s="1"/>
  <c r="AM84" i="34" s="1"/>
  <c r="AO84" i="34" s="1"/>
  <c r="AQ84" i="34" s="1"/>
  <c r="AS84" i="34" s="1"/>
  <c r="AT84" i="34" s="1"/>
  <c r="R28" i="34"/>
  <c r="T28" i="34" s="1"/>
  <c r="V28" i="34" s="1"/>
  <c r="W28" i="34" s="1"/>
  <c r="Y28" i="34" s="1"/>
  <c r="AA28" i="34" s="1"/>
  <c r="AC28" i="34" s="1"/>
  <c r="AE28" i="34" s="1"/>
  <c r="AG28" i="34" s="1"/>
  <c r="AI28" i="34" s="1"/>
  <c r="AK28" i="34" s="1"/>
  <c r="AM28" i="34" s="1"/>
  <c r="R22" i="34"/>
  <c r="R21" i="34"/>
  <c r="T21" i="34" s="1"/>
  <c r="V21" i="34" s="1"/>
  <c r="W21" i="34" s="1"/>
  <c r="Y21" i="34" s="1"/>
  <c r="AA21" i="34" s="1"/>
  <c r="AC21" i="34" s="1"/>
  <c r="AE21" i="34" s="1"/>
  <c r="AG21" i="34" s="1"/>
  <c r="AI21" i="34" s="1"/>
  <c r="AK21" i="34" s="1"/>
  <c r="AM21" i="34" s="1"/>
  <c r="AO21" i="34" s="1"/>
  <c r="AQ21" i="34" s="1"/>
  <c r="AS21" i="34" s="1"/>
  <c r="AT21" i="34" s="1"/>
  <c r="R61" i="34"/>
  <c r="T61" i="34" s="1"/>
  <c r="R57" i="34"/>
  <c r="T57" i="34" s="1"/>
  <c r="R29" i="34"/>
  <c r="T29" i="34" s="1"/>
  <c r="V29" i="34" s="1"/>
  <c r="W29" i="34" s="1"/>
  <c r="Y29" i="34" s="1"/>
  <c r="AA29" i="34" s="1"/>
  <c r="AC29" i="34" s="1"/>
  <c r="AE29" i="34" s="1"/>
  <c r="AG29" i="34" s="1"/>
  <c r="AI29" i="34" s="1"/>
  <c r="AK29" i="34" s="1"/>
  <c r="AM29" i="34" s="1"/>
  <c r="R25" i="34"/>
  <c r="T25" i="34" s="1"/>
  <c r="R31" i="34"/>
  <c r="T31" i="34" s="1"/>
  <c r="R23" i="34"/>
  <c r="T23" i="34" s="1"/>
  <c r="V23" i="34" s="1"/>
  <c r="W23" i="34" s="1"/>
  <c r="Y23" i="34" s="1"/>
  <c r="AA23" i="34" s="1"/>
  <c r="AC23" i="34" s="1"/>
  <c r="AE23" i="34" s="1"/>
  <c r="AG23" i="34" s="1"/>
  <c r="AI23" i="34" s="1"/>
  <c r="AK23" i="34" s="1"/>
  <c r="AM23" i="34" s="1"/>
  <c r="AO23" i="34" s="1"/>
  <c r="AQ23" i="34" s="1"/>
  <c r="AS23" i="34" s="1"/>
  <c r="AT23" i="34" s="1"/>
  <c r="R105" i="34"/>
  <c r="T105" i="34" s="1"/>
  <c r="R17" i="34"/>
  <c r="T17" i="34" s="1"/>
  <c r="R19" i="34"/>
  <c r="T19" i="34" s="1"/>
  <c r="R99" i="34"/>
  <c r="T99" i="34" s="1"/>
  <c r="R41" i="34"/>
  <c r="T41" i="34" s="1"/>
  <c r="R45" i="34"/>
  <c r="T45" i="34" s="1"/>
  <c r="V45" i="34" s="1"/>
  <c r="W45" i="34" s="1"/>
  <c r="Y45" i="34" s="1"/>
  <c r="AA45" i="34" s="1"/>
  <c r="AC45" i="34" s="1"/>
  <c r="AE45" i="34" s="1"/>
  <c r="AG45" i="34" s="1"/>
  <c r="AI45" i="34" s="1"/>
  <c r="AK45" i="34" s="1"/>
  <c r="AM45" i="34" s="1"/>
  <c r="R107" i="34"/>
  <c r="T107" i="34" s="1"/>
  <c r="V107" i="34" s="1"/>
  <c r="W107" i="34" s="1"/>
  <c r="Y107" i="34" s="1"/>
  <c r="AA107" i="34" s="1"/>
  <c r="AC107" i="34" s="1"/>
  <c r="AE107" i="34" s="1"/>
  <c r="AG107" i="34" s="1"/>
  <c r="AI107" i="34" s="1"/>
  <c r="AK107" i="34" s="1"/>
  <c r="AM107" i="34" s="1"/>
  <c r="AO107" i="34" s="1"/>
  <c r="AQ107" i="34" s="1"/>
  <c r="AS107" i="34" s="1"/>
  <c r="AT107" i="34" s="1"/>
  <c r="R113" i="34"/>
  <c r="T113" i="34" s="1"/>
  <c r="R15" i="34"/>
  <c r="T15" i="34" s="1"/>
  <c r="P100" i="34"/>
  <c r="R89" i="34"/>
  <c r="T89" i="34" s="1"/>
  <c r="R27" i="34"/>
  <c r="T27" i="34" s="1"/>
  <c r="P111" i="34"/>
  <c r="P87" i="34"/>
  <c r="P67" i="34"/>
  <c r="R37" i="34"/>
  <c r="T37" i="34" s="1"/>
  <c r="R51" i="34"/>
  <c r="T51" i="34" s="1"/>
  <c r="P43" i="34"/>
  <c r="R49" i="34"/>
  <c r="T49" i="34" s="1"/>
  <c r="V49" i="34" s="1"/>
  <c r="W49" i="34" s="1"/>
  <c r="Y49" i="34" s="1"/>
  <c r="AA49" i="34" s="1"/>
  <c r="AC49" i="34" s="1"/>
  <c r="AE49" i="34" s="1"/>
  <c r="AG49" i="34" s="1"/>
  <c r="AI49" i="34" s="1"/>
  <c r="AK49" i="34" s="1"/>
  <c r="AM49" i="34" s="1"/>
  <c r="P98" i="34"/>
  <c r="P109" i="34"/>
  <c r="P54" i="34"/>
  <c r="P16" i="34"/>
  <c r="P103" i="34"/>
  <c r="R79" i="34"/>
  <c r="T79" i="34" s="1"/>
  <c r="V79" i="34" s="1"/>
  <c r="W79" i="34" s="1"/>
  <c r="Y79" i="34" s="1"/>
  <c r="AA79" i="34" s="1"/>
  <c r="AC79" i="34" s="1"/>
  <c r="AE79" i="34" s="1"/>
  <c r="AG79" i="34" s="1"/>
  <c r="AI79" i="34" s="1"/>
  <c r="AK79" i="34" s="1"/>
  <c r="AM79" i="34" s="1"/>
  <c r="R33" i="34"/>
  <c r="T33" i="34" s="1"/>
  <c r="P104" i="34"/>
  <c r="P56" i="34"/>
  <c r="P13" i="34"/>
  <c r="P96" i="34"/>
  <c r="P90" i="34"/>
  <c r="P112" i="34"/>
  <c r="P101" i="34"/>
  <c r="P77" i="34"/>
  <c r="P46" i="34"/>
  <c r="P80" i="34"/>
  <c r="P47" i="34"/>
  <c r="R81" i="34"/>
  <c r="T81" i="34" s="1"/>
  <c r="P18" i="34"/>
  <c r="P52" i="34"/>
  <c r="P39" i="34"/>
  <c r="P65" i="34"/>
  <c r="P86" i="34"/>
  <c r="P88" i="34"/>
  <c r="P97" i="34"/>
  <c r="P42" i="34"/>
  <c r="P72" i="34"/>
  <c r="P53" i="34"/>
  <c r="M61" i="23"/>
  <c r="K61" i="23"/>
  <c r="BP98" i="34"/>
  <c r="P93" i="19" s="1"/>
  <c r="BP50" i="34"/>
  <c r="P45" i="19" s="1"/>
  <c r="BP66" i="34"/>
  <c r="P61" i="19" s="1"/>
  <c r="BP64" i="34"/>
  <c r="P59" i="19" s="1"/>
  <c r="BP68" i="34"/>
  <c r="P63" i="19" s="1"/>
  <c r="BP48" i="34"/>
  <c r="P43" i="19" s="1"/>
  <c r="BP52" i="34"/>
  <c r="P47" i="19" s="1"/>
  <c r="BP58" i="34"/>
  <c r="P53" i="19" s="1"/>
  <c r="BP54" i="34"/>
  <c r="P49" i="19" s="1"/>
  <c r="BP70" i="34"/>
  <c r="P65" i="19" s="1"/>
  <c r="P33" i="19"/>
  <c r="CH14" i="34"/>
  <c r="P60" i="19"/>
  <c r="CH15" i="34"/>
  <c r="BM98" i="34"/>
  <c r="BM52" i="34"/>
  <c r="BM58" i="34"/>
  <c r="BM48" i="34"/>
  <c r="BM54" i="34"/>
  <c r="BM68" i="34"/>
  <c r="BM66" i="34"/>
  <c r="BM64" i="34"/>
  <c r="BO39" i="34"/>
  <c r="BM39" i="34"/>
  <c r="BM97" i="34"/>
  <c r="BO97" i="34"/>
  <c r="BO41" i="34"/>
  <c r="BM41" i="34"/>
  <c r="BM91" i="34"/>
  <c r="BO91" i="34"/>
  <c r="BO63" i="34"/>
  <c r="BM63" i="34"/>
  <c r="BO102" i="34"/>
  <c r="BM102" i="34"/>
  <c r="BO67" i="34"/>
  <c r="BM67" i="34"/>
  <c r="BO78" i="34"/>
  <c r="BM78" i="34"/>
  <c r="BM111" i="34"/>
  <c r="BO111" i="34"/>
  <c r="BO106" i="34"/>
  <c r="BM106" i="34"/>
  <c r="BM40" i="34"/>
  <c r="BO40" i="34"/>
  <c r="BM101" i="34"/>
  <c r="BO101" i="34"/>
  <c r="BO80" i="34"/>
  <c r="BM80" i="34"/>
  <c r="BM83" i="34"/>
  <c r="BO83" i="34"/>
  <c r="BM69" i="34"/>
  <c r="BO69" i="34"/>
  <c r="BM105" i="34"/>
  <c r="BO105" i="34"/>
  <c r="BO62" i="34"/>
  <c r="BM62" i="34"/>
  <c r="BO43" i="34"/>
  <c r="BM43" i="34"/>
  <c r="BO59" i="34"/>
  <c r="BM59" i="34"/>
  <c r="BM113" i="34"/>
  <c r="BO113" i="34"/>
  <c r="BO47" i="34"/>
  <c r="BM47" i="34"/>
  <c r="BO72" i="34"/>
  <c r="BM72" i="34"/>
  <c r="BO108" i="34"/>
  <c r="BM108" i="34"/>
  <c r="BO57" i="34"/>
  <c r="BM57" i="34"/>
  <c r="BO44" i="34"/>
  <c r="BM44" i="34"/>
  <c r="BO73" i="34"/>
  <c r="BM73" i="34"/>
  <c r="BO84" i="34"/>
  <c r="BM84" i="34"/>
  <c r="BM87" i="34"/>
  <c r="BO87" i="34"/>
  <c r="BM71" i="34"/>
  <c r="BO71" i="34"/>
  <c r="BO94" i="34"/>
  <c r="BM94" i="34"/>
  <c r="BO56" i="34"/>
  <c r="BM56" i="34"/>
  <c r="BO45" i="34"/>
  <c r="BM45" i="34"/>
  <c r="BO61" i="34"/>
  <c r="BM61" i="34"/>
  <c r="BO75" i="34"/>
  <c r="BM75" i="34"/>
  <c r="BM93" i="34"/>
  <c r="BO93" i="34"/>
  <c r="BM95" i="34"/>
  <c r="BO95" i="34"/>
  <c r="BO88" i="34"/>
  <c r="BM88" i="34"/>
  <c r="BO90" i="34"/>
  <c r="BM90" i="34"/>
  <c r="BO92" i="34"/>
  <c r="BM92" i="34"/>
  <c r="BO112" i="34"/>
  <c r="BM112" i="34"/>
  <c r="BO49" i="34"/>
  <c r="BM49" i="34"/>
  <c r="BO79" i="34"/>
  <c r="BM79" i="34"/>
  <c r="BM99" i="34"/>
  <c r="BO99" i="34"/>
  <c r="BM85" i="34"/>
  <c r="BO85" i="34"/>
  <c r="BO51" i="34"/>
  <c r="BM51" i="34"/>
  <c r="BM89" i="34"/>
  <c r="BO89" i="34"/>
  <c r="BM109" i="34"/>
  <c r="BO109" i="34"/>
  <c r="BO82" i="34"/>
  <c r="BM82" i="34"/>
  <c r="BO74" i="34"/>
  <c r="BM74" i="34"/>
  <c r="BO100" i="34"/>
  <c r="BM100" i="34"/>
  <c r="BM103" i="34"/>
  <c r="BO103" i="34"/>
  <c r="BO46" i="34"/>
  <c r="BM46" i="34"/>
  <c r="BO53" i="34"/>
  <c r="BM53" i="34"/>
  <c r="BO77" i="34"/>
  <c r="BM77" i="34"/>
  <c r="BO86" i="34"/>
  <c r="BM86" i="34"/>
  <c r="BO60" i="34"/>
  <c r="BM60" i="34"/>
  <c r="BO110" i="34"/>
  <c r="BM110" i="34"/>
  <c r="BO96" i="34"/>
  <c r="BM96" i="34"/>
  <c r="BM81" i="34"/>
  <c r="BO81" i="34"/>
  <c r="BO76" i="34"/>
  <c r="BM76" i="34"/>
  <c r="BO104" i="34"/>
  <c r="BM104" i="34"/>
  <c r="BM107" i="34"/>
  <c r="BO107" i="34"/>
  <c r="BM42" i="34"/>
  <c r="BO42" i="34"/>
  <c r="BO55" i="34"/>
  <c r="BM55" i="34"/>
  <c r="N114" i="34"/>
  <c r="O12" i="34"/>
  <c r="O114" i="34" s="1"/>
  <c r="G60" i="10"/>
  <c r="G58" i="10"/>
  <c r="G56" i="10"/>
  <c r="G54" i="10"/>
  <c r="G52" i="10"/>
  <c r="G50" i="10"/>
  <c r="D60" i="10"/>
  <c r="D58" i="10"/>
  <c r="D56" i="10"/>
  <c r="D54" i="10"/>
  <c r="D52" i="10"/>
  <c r="D50" i="10"/>
  <c r="B60" i="10"/>
  <c r="B58" i="10"/>
  <c r="B56" i="10"/>
  <c r="B54" i="10"/>
  <c r="B52" i="10"/>
  <c r="B50" i="10"/>
  <c r="X19" i="22"/>
  <c r="AO49" i="34" l="1"/>
  <c r="AQ49" i="34" s="1"/>
  <c r="AS49" i="34" s="1"/>
  <c r="AT49" i="34" s="1"/>
  <c r="AO83" i="34"/>
  <c r="AO24" i="34"/>
  <c r="AQ24" i="34" s="1"/>
  <c r="AS24" i="34" s="1"/>
  <c r="AT24" i="34" s="1"/>
  <c r="AO69" i="34"/>
  <c r="AO85" i="34"/>
  <c r="AO50" i="34"/>
  <c r="AQ50" i="34" s="1"/>
  <c r="AS50" i="34" s="1"/>
  <c r="AT50" i="34" s="1"/>
  <c r="AO28" i="34"/>
  <c r="AQ28" i="34" s="1"/>
  <c r="AS28" i="34" s="1"/>
  <c r="AT28" i="34" s="1"/>
  <c r="AO79" i="34"/>
  <c r="AO64" i="34"/>
  <c r="AQ64" i="34" s="1"/>
  <c r="AS64" i="34" s="1"/>
  <c r="AT64" i="34" s="1"/>
  <c r="AU64" i="34" s="1"/>
  <c r="J59" i="19" s="1"/>
  <c r="X59" i="19" s="1"/>
  <c r="AO44" i="34"/>
  <c r="AQ44" i="34" s="1"/>
  <c r="AS44" i="34" s="1"/>
  <c r="AT44" i="34" s="1"/>
  <c r="AO29" i="34"/>
  <c r="AQ29" i="34" s="1"/>
  <c r="AS29" i="34" s="1"/>
  <c r="AT29" i="34" s="1"/>
  <c r="AO38" i="34"/>
  <c r="AQ38" i="34" s="1"/>
  <c r="AS38" i="34" s="1"/>
  <c r="AT38" i="34" s="1"/>
  <c r="AO45" i="34"/>
  <c r="AQ45" i="34" s="1"/>
  <c r="AS45" i="34" s="1"/>
  <c r="AT45" i="34" s="1"/>
  <c r="AC74" i="34"/>
  <c r="V41" i="34"/>
  <c r="W41" i="34" s="1"/>
  <c r="Y41" i="34" s="1"/>
  <c r="AA41" i="34" s="1"/>
  <c r="AC41" i="34" s="1"/>
  <c r="AE41" i="34" s="1"/>
  <c r="AG41" i="34" s="1"/>
  <c r="AI41" i="34" s="1"/>
  <c r="AK41" i="34" s="1"/>
  <c r="AM41" i="34" s="1"/>
  <c r="V99" i="34"/>
  <c r="W99" i="34" s="1"/>
  <c r="Y99" i="34" s="1"/>
  <c r="AA99" i="34" s="1"/>
  <c r="AC99" i="34" s="1"/>
  <c r="AE99" i="34" s="1"/>
  <c r="AG99" i="34" s="1"/>
  <c r="AI99" i="34" s="1"/>
  <c r="AK99" i="34" s="1"/>
  <c r="AM99" i="34" s="1"/>
  <c r="AO99" i="34" s="1"/>
  <c r="AQ99" i="34" s="1"/>
  <c r="AS99" i="34" s="1"/>
  <c r="AT99" i="34" s="1"/>
  <c r="V66" i="34"/>
  <c r="W66" i="34" s="1"/>
  <c r="Y66" i="34" s="1"/>
  <c r="AA66" i="34" s="1"/>
  <c r="V40" i="34"/>
  <c r="W40" i="34" s="1"/>
  <c r="Y40" i="34" s="1"/>
  <c r="AA40" i="34" s="1"/>
  <c r="AC40" i="34" s="1"/>
  <c r="AE40" i="34" s="1"/>
  <c r="AG40" i="34" s="1"/>
  <c r="AI40" i="34" s="1"/>
  <c r="AK40" i="34" s="1"/>
  <c r="AM40" i="34" s="1"/>
  <c r="V75" i="34"/>
  <c r="W75" i="34" s="1"/>
  <c r="Y75" i="34" s="1"/>
  <c r="AA75" i="34" s="1"/>
  <c r="AC75" i="34" s="1"/>
  <c r="AE75" i="34" s="1"/>
  <c r="AG75" i="34" s="1"/>
  <c r="AI75" i="34" s="1"/>
  <c r="AK75" i="34" s="1"/>
  <c r="AM75" i="34" s="1"/>
  <c r="AO75" i="34" s="1"/>
  <c r="AQ75" i="34" s="1"/>
  <c r="AS75" i="34" s="1"/>
  <c r="AT75" i="34" s="1"/>
  <c r="V20" i="34"/>
  <c r="W20" i="34" s="1"/>
  <c r="Y20" i="34" s="1"/>
  <c r="AA20" i="34" s="1"/>
  <c r="AC20" i="34" s="1"/>
  <c r="AE20" i="34" s="1"/>
  <c r="AG20" i="34" s="1"/>
  <c r="AI20" i="34" s="1"/>
  <c r="AK20" i="34" s="1"/>
  <c r="AM20" i="34" s="1"/>
  <c r="AO20" i="34" s="1"/>
  <c r="AQ20" i="34" s="1"/>
  <c r="AS20" i="34" s="1"/>
  <c r="AT20" i="34" s="1"/>
  <c r="V33" i="34"/>
  <c r="W33" i="34" s="1"/>
  <c r="Y33" i="34" s="1"/>
  <c r="AA33" i="34" s="1"/>
  <c r="AC33" i="34" s="1"/>
  <c r="V70" i="34"/>
  <c r="W70" i="34" s="1"/>
  <c r="Y70" i="34" s="1"/>
  <c r="AA70" i="34" s="1"/>
  <c r="V89" i="34"/>
  <c r="W89" i="34" s="1"/>
  <c r="Y89" i="34" s="1"/>
  <c r="AA89" i="34" s="1"/>
  <c r="AC89" i="34" s="1"/>
  <c r="AE89" i="34" s="1"/>
  <c r="AG89" i="34" s="1"/>
  <c r="AI89" i="34" s="1"/>
  <c r="AK89" i="34" s="1"/>
  <c r="AM89" i="34" s="1"/>
  <c r="AO89" i="34" s="1"/>
  <c r="AQ89" i="34" s="1"/>
  <c r="AS89" i="34" s="1"/>
  <c r="AT89" i="34" s="1"/>
  <c r="V51" i="34"/>
  <c r="W51" i="34" s="1"/>
  <c r="Y51" i="34" s="1"/>
  <c r="AA51" i="34" s="1"/>
  <c r="V15" i="34"/>
  <c r="W15" i="34" s="1"/>
  <c r="Y15" i="34" s="1"/>
  <c r="AA15" i="34" s="1"/>
  <c r="AC15" i="34" s="1"/>
  <c r="AE15" i="34" s="1"/>
  <c r="AG15" i="34" s="1"/>
  <c r="AI15" i="34" s="1"/>
  <c r="AK15" i="34" s="1"/>
  <c r="AM15" i="34" s="1"/>
  <c r="AO15" i="34" s="1"/>
  <c r="AQ15" i="34" s="1"/>
  <c r="AS15" i="34" s="1"/>
  <c r="AT15" i="34" s="1"/>
  <c r="V105" i="34"/>
  <c r="W105" i="34" s="1"/>
  <c r="Y105" i="34" s="1"/>
  <c r="AA105" i="34" s="1"/>
  <c r="V95" i="34"/>
  <c r="W95" i="34" s="1"/>
  <c r="Y95" i="34" s="1"/>
  <c r="AA95" i="34" s="1"/>
  <c r="AC95" i="34" s="1"/>
  <c r="AE95" i="34" s="1"/>
  <c r="AG95" i="34" s="1"/>
  <c r="AI95" i="34" s="1"/>
  <c r="AK95" i="34" s="1"/>
  <c r="AM95" i="34" s="1"/>
  <c r="AO95" i="34" s="1"/>
  <c r="AQ95" i="34" s="1"/>
  <c r="AS95" i="34" s="1"/>
  <c r="AT95" i="34" s="1"/>
  <c r="V94" i="34"/>
  <c r="W94" i="34" s="1"/>
  <c r="Y94" i="34" s="1"/>
  <c r="AA94" i="34" s="1"/>
  <c r="AC94" i="34" s="1"/>
  <c r="AE94" i="34" s="1"/>
  <c r="AG94" i="34" s="1"/>
  <c r="AI94" i="34" s="1"/>
  <c r="AK94" i="34" s="1"/>
  <c r="AM94" i="34" s="1"/>
  <c r="AO94" i="34" s="1"/>
  <c r="AQ94" i="34" s="1"/>
  <c r="AS94" i="34" s="1"/>
  <c r="AT94" i="34" s="1"/>
  <c r="V37" i="34"/>
  <c r="W37" i="34" s="1"/>
  <c r="Y37" i="34" s="1"/>
  <c r="AA37" i="34" s="1"/>
  <c r="AC37" i="34" s="1"/>
  <c r="AE37" i="34" s="1"/>
  <c r="AG37" i="34" s="1"/>
  <c r="AI37" i="34" s="1"/>
  <c r="AK37" i="34" s="1"/>
  <c r="AM37" i="34" s="1"/>
  <c r="AO37" i="34" s="1"/>
  <c r="AQ37" i="34" s="1"/>
  <c r="AS37" i="34" s="1"/>
  <c r="AT37" i="34" s="1"/>
  <c r="V31" i="34"/>
  <c r="W31" i="34" s="1"/>
  <c r="Y31" i="34" s="1"/>
  <c r="AA31" i="34" s="1"/>
  <c r="V26" i="34"/>
  <c r="W26" i="34" s="1"/>
  <c r="Y26" i="34" s="1"/>
  <c r="AA26" i="34" s="1"/>
  <c r="V63" i="34"/>
  <c r="W63" i="34" s="1"/>
  <c r="Y63" i="34" s="1"/>
  <c r="AA63" i="34" s="1"/>
  <c r="AC63" i="34" s="1"/>
  <c r="AE63" i="34" s="1"/>
  <c r="AG63" i="34" s="1"/>
  <c r="AI63" i="34" s="1"/>
  <c r="AK63" i="34" s="1"/>
  <c r="AM63" i="34" s="1"/>
  <c r="AO63" i="34" s="1"/>
  <c r="AQ63" i="34" s="1"/>
  <c r="AS63" i="34" s="1"/>
  <c r="AT63" i="34" s="1"/>
  <c r="V30" i="34"/>
  <c r="W30" i="34" s="1"/>
  <c r="Y30" i="34" s="1"/>
  <c r="AA30" i="34" s="1"/>
  <c r="AC30" i="34" s="1"/>
  <c r="AE30" i="34" s="1"/>
  <c r="AG30" i="34" s="1"/>
  <c r="AI30" i="34" s="1"/>
  <c r="AK30" i="34" s="1"/>
  <c r="AM30" i="34" s="1"/>
  <c r="AO30" i="34" s="1"/>
  <c r="AQ30" i="34" s="1"/>
  <c r="AS30" i="34" s="1"/>
  <c r="AT30" i="34" s="1"/>
  <c r="V113" i="34"/>
  <c r="W113" i="34" s="1"/>
  <c r="Y113" i="34" s="1"/>
  <c r="AA113" i="34" s="1"/>
  <c r="AC113" i="34" s="1"/>
  <c r="AE113" i="34" s="1"/>
  <c r="AG113" i="34" s="1"/>
  <c r="AI113" i="34" s="1"/>
  <c r="AK113" i="34" s="1"/>
  <c r="AM113" i="34" s="1"/>
  <c r="AO113" i="34" s="1"/>
  <c r="AQ113" i="34" s="1"/>
  <c r="AS113" i="34" s="1"/>
  <c r="AT113" i="34" s="1"/>
  <c r="V81" i="34"/>
  <c r="W81" i="34" s="1"/>
  <c r="Y81" i="34" s="1"/>
  <c r="AA81" i="34" s="1"/>
  <c r="V25" i="34"/>
  <c r="W25" i="34" s="1"/>
  <c r="Y25" i="34" s="1"/>
  <c r="AA25" i="34" s="1"/>
  <c r="V32" i="34"/>
  <c r="W32" i="34" s="1"/>
  <c r="Y32" i="34" s="1"/>
  <c r="AA32" i="34" s="1"/>
  <c r="AC32" i="34" s="1"/>
  <c r="AE32" i="34" s="1"/>
  <c r="AG32" i="34" s="1"/>
  <c r="AI32" i="34" s="1"/>
  <c r="AK32" i="34" s="1"/>
  <c r="AM32" i="34" s="1"/>
  <c r="AO32" i="34" s="1"/>
  <c r="AQ32" i="34" s="1"/>
  <c r="AS32" i="34" s="1"/>
  <c r="AT32" i="34" s="1"/>
  <c r="V57" i="34"/>
  <c r="W57" i="34" s="1"/>
  <c r="Y57" i="34" s="1"/>
  <c r="AA57" i="34" s="1"/>
  <c r="AC57" i="34" s="1"/>
  <c r="AE57" i="34" s="1"/>
  <c r="AG57" i="34" s="1"/>
  <c r="AI57" i="34" s="1"/>
  <c r="AK57" i="34" s="1"/>
  <c r="AM57" i="34" s="1"/>
  <c r="AO57" i="34" s="1"/>
  <c r="AQ57" i="34" s="1"/>
  <c r="AS57" i="34" s="1"/>
  <c r="AT57" i="34" s="1"/>
  <c r="V27" i="34"/>
  <c r="W27" i="34" s="1"/>
  <c r="Y27" i="34" s="1"/>
  <c r="AA27" i="34" s="1"/>
  <c r="AC27" i="34" s="1"/>
  <c r="AE27" i="34" s="1"/>
  <c r="AG27" i="34" s="1"/>
  <c r="AI27" i="34" s="1"/>
  <c r="AK27" i="34" s="1"/>
  <c r="AM27" i="34" s="1"/>
  <c r="AO27" i="34" s="1"/>
  <c r="AQ27" i="34" s="1"/>
  <c r="AS27" i="34" s="1"/>
  <c r="AT27" i="34" s="1"/>
  <c r="V61" i="34"/>
  <c r="W61" i="34" s="1"/>
  <c r="Y61" i="34" s="1"/>
  <c r="AA61" i="34" s="1"/>
  <c r="AC61" i="34" s="1"/>
  <c r="AE61" i="34" s="1"/>
  <c r="AG61" i="34" s="1"/>
  <c r="AI61" i="34" s="1"/>
  <c r="AK61" i="34" s="1"/>
  <c r="AM61" i="34" s="1"/>
  <c r="AO61" i="34" s="1"/>
  <c r="AQ61" i="34" s="1"/>
  <c r="AS61" i="34" s="1"/>
  <c r="AT61" i="34" s="1"/>
  <c r="V68" i="34"/>
  <c r="W68" i="34" s="1"/>
  <c r="Y68" i="34" s="1"/>
  <c r="AA68" i="34" s="1"/>
  <c r="AC68" i="34" s="1"/>
  <c r="AE68" i="34" s="1"/>
  <c r="AG68" i="34" s="1"/>
  <c r="AI68" i="34" s="1"/>
  <c r="AK68" i="34" s="1"/>
  <c r="AM68" i="34" s="1"/>
  <c r="V19" i="34"/>
  <c r="W19" i="34" s="1"/>
  <c r="Y19" i="34" s="1"/>
  <c r="AA19" i="34" s="1"/>
  <c r="AC19" i="34" s="1"/>
  <c r="AE19" i="34" s="1"/>
  <c r="AG19" i="34" s="1"/>
  <c r="AI19" i="34" s="1"/>
  <c r="AK19" i="34" s="1"/>
  <c r="AM19" i="34" s="1"/>
  <c r="AO19" i="34" s="1"/>
  <c r="AQ19" i="34" s="1"/>
  <c r="AS19" i="34" s="1"/>
  <c r="AT19" i="34" s="1"/>
  <c r="T71" i="34"/>
  <c r="V17" i="34"/>
  <c r="W17" i="34" s="1"/>
  <c r="Y17" i="34" s="1"/>
  <c r="AA17" i="34" s="1"/>
  <c r="AC17" i="34" s="1"/>
  <c r="AE17" i="34" s="1"/>
  <c r="AG17" i="34" s="1"/>
  <c r="AI17" i="34" s="1"/>
  <c r="AK17" i="34" s="1"/>
  <c r="AM17" i="34" s="1"/>
  <c r="AO17" i="34" s="1"/>
  <c r="AQ17" i="34" s="1"/>
  <c r="AS17" i="34" s="1"/>
  <c r="AT17" i="34" s="1"/>
  <c r="V108" i="34"/>
  <c r="W108" i="34" s="1"/>
  <c r="Y108" i="34" s="1"/>
  <c r="AA108" i="34" s="1"/>
  <c r="T48" i="34"/>
  <c r="V48" i="34" s="1"/>
  <c r="W48" i="34" s="1"/>
  <c r="Y48" i="34" s="1"/>
  <c r="AA48" i="34" s="1"/>
  <c r="V73" i="34"/>
  <c r="W73" i="34" s="1"/>
  <c r="Y73" i="34" s="1"/>
  <c r="AA73" i="34" s="1"/>
  <c r="AC73" i="34" s="1"/>
  <c r="AE73" i="34" s="1"/>
  <c r="AG73" i="34" s="1"/>
  <c r="AI73" i="34" s="1"/>
  <c r="AK73" i="34" s="1"/>
  <c r="AM73" i="34" s="1"/>
  <c r="AO73" i="34" s="1"/>
  <c r="AQ73" i="34" s="1"/>
  <c r="AS73" i="34" s="1"/>
  <c r="AT73" i="34" s="1"/>
  <c r="V76" i="34"/>
  <c r="W76" i="34" s="1"/>
  <c r="Y76" i="34" s="1"/>
  <c r="AA76" i="34" s="1"/>
  <c r="AC76" i="34" s="1"/>
  <c r="AE76" i="34" s="1"/>
  <c r="AG76" i="34" s="1"/>
  <c r="AI76" i="34" s="1"/>
  <c r="AK76" i="34" s="1"/>
  <c r="AM76" i="34" s="1"/>
  <c r="AO76" i="34" s="1"/>
  <c r="AQ76" i="34" s="1"/>
  <c r="AS76" i="34" s="1"/>
  <c r="AT76" i="34" s="1"/>
  <c r="V59" i="34"/>
  <c r="W59" i="34" s="1"/>
  <c r="Y59" i="34" s="1"/>
  <c r="AA59" i="34" s="1"/>
  <c r="AC59" i="34" s="1"/>
  <c r="AE59" i="34" s="1"/>
  <c r="AG59" i="34" s="1"/>
  <c r="AI59" i="34" s="1"/>
  <c r="AK59" i="34" s="1"/>
  <c r="AM59" i="34" s="1"/>
  <c r="AO59" i="34" s="1"/>
  <c r="AQ59" i="34" s="1"/>
  <c r="AS59" i="34" s="1"/>
  <c r="AT59" i="34" s="1"/>
  <c r="T22" i="34"/>
  <c r="V22" i="34" s="1"/>
  <c r="W22" i="34" s="1"/>
  <c r="Y22" i="34" s="1"/>
  <c r="AA22" i="34" s="1"/>
  <c r="T58" i="34"/>
  <c r="T35" i="34"/>
  <c r="V35" i="34" s="1"/>
  <c r="W35" i="34" s="1"/>
  <c r="Y35" i="34" s="1"/>
  <c r="AA35" i="34" s="1"/>
  <c r="H16" i="19"/>
  <c r="W16" i="19" s="1"/>
  <c r="T82" i="34"/>
  <c r="T14" i="34"/>
  <c r="AU92" i="34"/>
  <c r="J87" i="19" s="1"/>
  <c r="X87" i="19" s="1"/>
  <c r="H87" i="19"/>
  <c r="W87" i="19" s="1"/>
  <c r="AV92" i="34"/>
  <c r="I87" i="19" s="1"/>
  <c r="Y87" i="19" s="1"/>
  <c r="AV102" i="34"/>
  <c r="I97" i="19" s="1"/>
  <c r="Y97" i="19" s="1"/>
  <c r="H97" i="19"/>
  <c r="W97" i="19" s="1"/>
  <c r="AV110" i="34"/>
  <c r="I105" i="19" s="1"/>
  <c r="Y105" i="19" s="1"/>
  <c r="H105" i="19"/>
  <c r="W105" i="19" s="1"/>
  <c r="H57" i="19"/>
  <c r="W57" i="19" s="1"/>
  <c r="AU62" i="34"/>
  <c r="J57" i="19" s="1"/>
  <c r="X57" i="19" s="1"/>
  <c r="AU78" i="34"/>
  <c r="J73" i="19" s="1"/>
  <c r="X73" i="19" s="1"/>
  <c r="AV78" i="34"/>
  <c r="I73" i="19" s="1"/>
  <c r="Y73" i="19" s="1"/>
  <c r="AU21" i="34"/>
  <c r="J16" i="19" s="1"/>
  <c r="X16" i="19" s="1"/>
  <c r="AV21" i="34"/>
  <c r="I16" i="19" s="1"/>
  <c r="Y16" i="19" s="1"/>
  <c r="H55" i="19"/>
  <c r="W55" i="19" s="1"/>
  <c r="AV60" i="34"/>
  <c r="I55" i="19" s="1"/>
  <c r="Y55" i="19" s="1"/>
  <c r="AU60" i="34"/>
  <c r="J55" i="19" s="1"/>
  <c r="X55" i="19" s="1"/>
  <c r="H79" i="19"/>
  <c r="W79" i="19" s="1"/>
  <c r="AV84" i="34"/>
  <c r="I79" i="19" s="1"/>
  <c r="Y79" i="19" s="1"/>
  <c r="AU84" i="34"/>
  <c r="J79" i="19" s="1"/>
  <c r="X79" i="19" s="1"/>
  <c r="AV91" i="34"/>
  <c r="I86" i="19" s="1"/>
  <c r="Y86" i="19" s="1"/>
  <c r="AU91" i="34"/>
  <c r="J86" i="19" s="1"/>
  <c r="X86" i="19" s="1"/>
  <c r="H86" i="19"/>
  <c r="W86" i="19" s="1"/>
  <c r="AU93" i="34"/>
  <c r="J88" i="19" s="1"/>
  <c r="X88" i="19" s="1"/>
  <c r="AV93" i="34"/>
  <c r="I88" i="19" s="1"/>
  <c r="Y88" i="19" s="1"/>
  <c r="AV106" i="34"/>
  <c r="I101" i="19" s="1"/>
  <c r="Y101" i="19" s="1"/>
  <c r="AU106" i="34"/>
  <c r="J101" i="19" s="1"/>
  <c r="X101" i="19" s="1"/>
  <c r="H101" i="19"/>
  <c r="W101" i="19" s="1"/>
  <c r="AU55" i="34"/>
  <c r="J50" i="19" s="1"/>
  <c r="X50" i="19" s="1"/>
  <c r="AV55" i="34"/>
  <c r="I50" i="19" s="1"/>
  <c r="Y50" i="19" s="1"/>
  <c r="H50" i="19"/>
  <c r="W50" i="19" s="1"/>
  <c r="H29" i="19"/>
  <c r="W29" i="19" s="1"/>
  <c r="AV34" i="34"/>
  <c r="I29" i="19" s="1"/>
  <c r="Y29" i="19" s="1"/>
  <c r="AU34" i="34"/>
  <c r="J29" i="19" s="1"/>
  <c r="X29" i="19" s="1"/>
  <c r="AV36" i="34"/>
  <c r="I31" i="19" s="1"/>
  <c r="Y31" i="19" s="1"/>
  <c r="AU36" i="34"/>
  <c r="J31" i="19" s="1"/>
  <c r="X31" i="19" s="1"/>
  <c r="H59" i="19"/>
  <c r="W59" i="19" s="1"/>
  <c r="AV64" i="34"/>
  <c r="I59" i="19" s="1"/>
  <c r="Y59" i="19" s="1"/>
  <c r="AU110" i="34"/>
  <c r="J105" i="19" s="1"/>
  <c r="X105" i="19" s="1"/>
  <c r="R42" i="34"/>
  <c r="R80" i="34"/>
  <c r="T80" i="34" s="1"/>
  <c r="R56" i="34"/>
  <c r="T56" i="34" s="1"/>
  <c r="R96" i="34"/>
  <c r="T96" i="34" s="1"/>
  <c r="V96" i="34" s="1"/>
  <c r="W96" i="34" s="1"/>
  <c r="Y96" i="34" s="1"/>
  <c r="AA96" i="34" s="1"/>
  <c r="R18" i="34"/>
  <c r="T18" i="34" s="1"/>
  <c r="V18" i="34" s="1"/>
  <c r="W18" i="34" s="1"/>
  <c r="Y18" i="34" s="1"/>
  <c r="AA18" i="34" s="1"/>
  <c r="AC18" i="34" s="1"/>
  <c r="AE18" i="34" s="1"/>
  <c r="AG18" i="34" s="1"/>
  <c r="AI18" i="34" s="1"/>
  <c r="AK18" i="34" s="1"/>
  <c r="AM18" i="34" s="1"/>
  <c r="AO18" i="34" s="1"/>
  <c r="AQ18" i="34" s="1"/>
  <c r="AS18" i="34" s="1"/>
  <c r="AT18" i="34" s="1"/>
  <c r="R46" i="34"/>
  <c r="T46" i="34" s="1"/>
  <c r="V46" i="34" s="1"/>
  <c r="W46" i="34" s="1"/>
  <c r="Y46" i="34" s="1"/>
  <c r="AA46" i="34" s="1"/>
  <c r="AC46" i="34" s="1"/>
  <c r="AE46" i="34" s="1"/>
  <c r="AG46" i="34" s="1"/>
  <c r="AI46" i="34" s="1"/>
  <c r="AK46" i="34" s="1"/>
  <c r="AM46" i="34" s="1"/>
  <c r="R16" i="34"/>
  <c r="T16" i="34" s="1"/>
  <c r="H88" i="19"/>
  <c r="W88" i="19" s="1"/>
  <c r="AU102" i="34"/>
  <c r="J97" i="19" s="1"/>
  <c r="X97" i="19" s="1"/>
  <c r="R88" i="34"/>
  <c r="T88" i="34" s="1"/>
  <c r="V88" i="34" s="1"/>
  <c r="W88" i="34" s="1"/>
  <c r="Y88" i="34" s="1"/>
  <c r="AA88" i="34" s="1"/>
  <c r="AC88" i="34" s="1"/>
  <c r="AE88" i="34" s="1"/>
  <c r="AG88" i="34" s="1"/>
  <c r="AI88" i="34" s="1"/>
  <c r="AK88" i="34" s="1"/>
  <c r="AM88" i="34" s="1"/>
  <c r="AO88" i="34" s="1"/>
  <c r="AQ88" i="34" s="1"/>
  <c r="AS88" i="34" s="1"/>
  <c r="AT88" i="34" s="1"/>
  <c r="R77" i="34"/>
  <c r="T77" i="34" s="1"/>
  <c r="V77" i="34" s="1"/>
  <c r="W77" i="34" s="1"/>
  <c r="Y77" i="34" s="1"/>
  <c r="AA77" i="34" s="1"/>
  <c r="AC77" i="34" s="1"/>
  <c r="AE77" i="34" s="1"/>
  <c r="AG77" i="34" s="1"/>
  <c r="AI77" i="34" s="1"/>
  <c r="AK77" i="34" s="1"/>
  <c r="AM77" i="34" s="1"/>
  <c r="AO77" i="34" s="1"/>
  <c r="AQ77" i="34" s="1"/>
  <c r="AS77" i="34" s="1"/>
  <c r="AT77" i="34" s="1"/>
  <c r="R54" i="34"/>
  <c r="T54" i="34" s="1"/>
  <c r="V54" i="34" s="1"/>
  <c r="W54" i="34" s="1"/>
  <c r="Y54" i="34" s="1"/>
  <c r="AA54" i="34" s="1"/>
  <c r="AC54" i="34" s="1"/>
  <c r="AE54" i="34" s="1"/>
  <c r="AG54" i="34" s="1"/>
  <c r="AI54" i="34" s="1"/>
  <c r="AK54" i="34" s="1"/>
  <c r="AM54" i="34" s="1"/>
  <c r="AO54" i="34" s="1"/>
  <c r="AQ54" i="34" s="1"/>
  <c r="AS54" i="34" s="1"/>
  <c r="AT54" i="34" s="1"/>
  <c r="H73" i="19"/>
  <c r="W73" i="19" s="1"/>
  <c r="R72" i="34"/>
  <c r="R86" i="34"/>
  <c r="T86" i="34" s="1"/>
  <c r="V86" i="34" s="1"/>
  <c r="W86" i="34" s="1"/>
  <c r="Y86" i="34" s="1"/>
  <c r="AA86" i="34" s="1"/>
  <c r="AC86" i="34" s="1"/>
  <c r="AE86" i="34" s="1"/>
  <c r="AG86" i="34" s="1"/>
  <c r="AI86" i="34" s="1"/>
  <c r="AK86" i="34" s="1"/>
  <c r="AM86" i="34" s="1"/>
  <c r="AO86" i="34" s="1"/>
  <c r="AQ86" i="34" s="1"/>
  <c r="AS86" i="34" s="1"/>
  <c r="AT86" i="34" s="1"/>
  <c r="R104" i="34"/>
  <c r="R52" i="34"/>
  <c r="T52" i="34" s="1"/>
  <c r="V52" i="34" s="1"/>
  <c r="W52" i="34" s="1"/>
  <c r="Y52" i="34" s="1"/>
  <c r="AA52" i="34" s="1"/>
  <c r="AC52" i="34" s="1"/>
  <c r="AE52" i="34" s="1"/>
  <c r="AG52" i="34" s="1"/>
  <c r="AI52" i="34" s="1"/>
  <c r="AK52" i="34" s="1"/>
  <c r="AM52" i="34" s="1"/>
  <c r="R111" i="34"/>
  <c r="T111" i="34" s="1"/>
  <c r="V111" i="34" s="1"/>
  <c r="W111" i="34" s="1"/>
  <c r="Y111" i="34" s="1"/>
  <c r="AA111" i="34" s="1"/>
  <c r="AC111" i="34" s="1"/>
  <c r="AE111" i="34" s="1"/>
  <c r="AG111" i="34" s="1"/>
  <c r="AI111" i="34" s="1"/>
  <c r="AK111" i="34" s="1"/>
  <c r="AM111" i="34" s="1"/>
  <c r="AO111" i="34" s="1"/>
  <c r="AQ111" i="34" s="1"/>
  <c r="AS111" i="34" s="1"/>
  <c r="AT111" i="34" s="1"/>
  <c r="R65" i="34"/>
  <c r="T65" i="34" s="1"/>
  <c r="V65" i="34" s="1"/>
  <c r="W65" i="34" s="1"/>
  <c r="Y65" i="34" s="1"/>
  <c r="AA65" i="34" s="1"/>
  <c r="AC65" i="34" s="1"/>
  <c r="AE65" i="34" s="1"/>
  <c r="AG65" i="34" s="1"/>
  <c r="AI65" i="34" s="1"/>
  <c r="AK65" i="34" s="1"/>
  <c r="AM65" i="34" s="1"/>
  <c r="AO65" i="34" s="1"/>
  <c r="AQ65" i="34" s="1"/>
  <c r="AS65" i="34" s="1"/>
  <c r="AT65" i="34" s="1"/>
  <c r="R112" i="34"/>
  <c r="R98" i="34"/>
  <c r="R100" i="34"/>
  <c r="T100" i="34" s="1"/>
  <c r="H31" i="19"/>
  <c r="W31" i="19" s="1"/>
  <c r="AV62" i="34"/>
  <c r="I57" i="19" s="1"/>
  <c r="Y57" i="19" s="1"/>
  <c r="R39" i="34"/>
  <c r="T39" i="34" s="1"/>
  <c r="V39" i="34" s="1"/>
  <c r="W39" i="34" s="1"/>
  <c r="Y39" i="34" s="1"/>
  <c r="AA39" i="34" s="1"/>
  <c r="AC39" i="34" s="1"/>
  <c r="AE39" i="34" s="1"/>
  <c r="AG39" i="34" s="1"/>
  <c r="AI39" i="34" s="1"/>
  <c r="AK39" i="34" s="1"/>
  <c r="AM39" i="34" s="1"/>
  <c r="AO39" i="34" s="1"/>
  <c r="AQ39" i="34" s="1"/>
  <c r="AS39" i="34" s="1"/>
  <c r="AT39" i="34" s="1"/>
  <c r="R90" i="34"/>
  <c r="T90" i="34" s="1"/>
  <c r="R67" i="34"/>
  <c r="T67" i="34" s="1"/>
  <c r="H102" i="19"/>
  <c r="W102" i="19" s="1"/>
  <c r="AU107" i="34"/>
  <c r="J102" i="19" s="1"/>
  <c r="X102" i="19" s="1"/>
  <c r="AV107" i="34"/>
  <c r="I102" i="19" s="1"/>
  <c r="Y102" i="19" s="1"/>
  <c r="H18" i="19"/>
  <c r="W18" i="19" s="1"/>
  <c r="AU23" i="34"/>
  <c r="J18" i="19" s="1"/>
  <c r="X18" i="19" s="1"/>
  <c r="AV23" i="34"/>
  <c r="I18" i="19" s="1"/>
  <c r="Y18" i="19" s="1"/>
  <c r="R101" i="34"/>
  <c r="T101" i="34" s="1"/>
  <c r="V101" i="34" s="1"/>
  <c r="W101" i="34" s="1"/>
  <c r="Y101" i="34" s="1"/>
  <c r="AA101" i="34" s="1"/>
  <c r="AC101" i="34" s="1"/>
  <c r="AE101" i="34" s="1"/>
  <c r="AG101" i="34" s="1"/>
  <c r="AI101" i="34" s="1"/>
  <c r="AK101" i="34" s="1"/>
  <c r="AM101" i="34" s="1"/>
  <c r="R87" i="34"/>
  <c r="T87" i="34" s="1"/>
  <c r="V87" i="34" s="1"/>
  <c r="W87" i="34" s="1"/>
  <c r="Y87" i="34" s="1"/>
  <c r="AA87" i="34" s="1"/>
  <c r="AC87" i="34" s="1"/>
  <c r="AE87" i="34" s="1"/>
  <c r="AG87" i="34" s="1"/>
  <c r="AI87" i="34" s="1"/>
  <c r="AK87" i="34" s="1"/>
  <c r="AM87" i="34" s="1"/>
  <c r="AO87" i="34" s="1"/>
  <c r="AQ87" i="34" s="1"/>
  <c r="AS87" i="34" s="1"/>
  <c r="AT87" i="34" s="1"/>
  <c r="P12" i="34"/>
  <c r="R97" i="34"/>
  <c r="T97" i="34" s="1"/>
  <c r="V97" i="34" s="1"/>
  <c r="W97" i="34" s="1"/>
  <c r="Y97" i="34" s="1"/>
  <c r="AA97" i="34" s="1"/>
  <c r="AC97" i="34" s="1"/>
  <c r="AE97" i="34" s="1"/>
  <c r="AG97" i="34" s="1"/>
  <c r="AI97" i="34" s="1"/>
  <c r="AK97" i="34" s="1"/>
  <c r="AM97" i="34" s="1"/>
  <c r="AO97" i="34" s="1"/>
  <c r="AQ97" i="34" s="1"/>
  <c r="AS97" i="34" s="1"/>
  <c r="AT97" i="34" s="1"/>
  <c r="R43" i="34"/>
  <c r="T43" i="34" s="1"/>
  <c r="V43" i="34" s="1"/>
  <c r="W43" i="34" s="1"/>
  <c r="Y43" i="34" s="1"/>
  <c r="AA43" i="34" s="1"/>
  <c r="AC43" i="34" s="1"/>
  <c r="AE43" i="34" s="1"/>
  <c r="AG43" i="34" s="1"/>
  <c r="AI43" i="34" s="1"/>
  <c r="AK43" i="34" s="1"/>
  <c r="AM43" i="34" s="1"/>
  <c r="R103" i="34"/>
  <c r="T103" i="34" s="1"/>
  <c r="R109" i="34"/>
  <c r="T109" i="34" s="1"/>
  <c r="V109" i="34" s="1"/>
  <c r="W109" i="34" s="1"/>
  <c r="Y109" i="34" s="1"/>
  <c r="AA109" i="34" s="1"/>
  <c r="AC109" i="34" s="1"/>
  <c r="AE109" i="34" s="1"/>
  <c r="AG109" i="34" s="1"/>
  <c r="AI109" i="34" s="1"/>
  <c r="AK109" i="34" s="1"/>
  <c r="AM109" i="34" s="1"/>
  <c r="AO109" i="34" s="1"/>
  <c r="AQ109" i="34" s="1"/>
  <c r="AS109" i="34" s="1"/>
  <c r="AT109" i="34" s="1"/>
  <c r="R47" i="34"/>
  <c r="T47" i="34" s="1"/>
  <c r="V47" i="34" s="1"/>
  <c r="W47" i="34" s="1"/>
  <c r="Y47" i="34" s="1"/>
  <c r="AA47" i="34" s="1"/>
  <c r="AC47" i="34" s="1"/>
  <c r="AE47" i="34" s="1"/>
  <c r="AG47" i="34" s="1"/>
  <c r="AI47" i="34" s="1"/>
  <c r="AK47" i="34" s="1"/>
  <c r="AM47" i="34" s="1"/>
  <c r="R13" i="34"/>
  <c r="T13" i="34" s="1"/>
  <c r="V13" i="34" s="1"/>
  <c r="W13" i="34" s="1"/>
  <c r="Y13" i="34" s="1"/>
  <c r="AA13" i="34" s="1"/>
  <c r="AC13" i="34" s="1"/>
  <c r="AE13" i="34" s="1"/>
  <c r="AG13" i="34" s="1"/>
  <c r="AI13" i="34" s="1"/>
  <c r="AK13" i="34" s="1"/>
  <c r="AM13" i="34" s="1"/>
  <c r="AO13" i="34" s="1"/>
  <c r="AQ13" i="34" s="1"/>
  <c r="AS13" i="34" s="1"/>
  <c r="AT13" i="34" s="1"/>
  <c r="R53" i="34"/>
  <c r="T53" i="34" s="1"/>
  <c r="V53" i="34" s="1"/>
  <c r="W53" i="34" s="1"/>
  <c r="Y53" i="34" s="1"/>
  <c r="AA53" i="34" s="1"/>
  <c r="AC53" i="34" s="1"/>
  <c r="AE53" i="34" s="1"/>
  <c r="AG53" i="34" s="1"/>
  <c r="AI53" i="34" s="1"/>
  <c r="AK53" i="34" s="1"/>
  <c r="AM53" i="34" s="1"/>
  <c r="M62" i="23"/>
  <c r="K62" i="23"/>
  <c r="BP105" i="34"/>
  <c r="P100" i="19" s="1"/>
  <c r="BP85" i="34"/>
  <c r="P80" i="19" s="1"/>
  <c r="BP56" i="34"/>
  <c r="P51" i="19" s="1"/>
  <c r="BP67" i="34"/>
  <c r="P62" i="19" s="1"/>
  <c r="BP41" i="34"/>
  <c r="P36" i="19" s="1"/>
  <c r="BP86" i="34"/>
  <c r="P81" i="19" s="1"/>
  <c r="BP53" i="34"/>
  <c r="P48" i="19" s="1"/>
  <c r="BP74" i="34"/>
  <c r="P69" i="19" s="1"/>
  <c r="BP49" i="34"/>
  <c r="P44" i="19" s="1"/>
  <c r="BP90" i="34"/>
  <c r="P85" i="19" s="1"/>
  <c r="BP71" i="34"/>
  <c r="P66" i="19" s="1"/>
  <c r="BP69" i="34"/>
  <c r="P64" i="19" s="1"/>
  <c r="BP101" i="34"/>
  <c r="P96" i="19" s="1"/>
  <c r="BP91" i="34"/>
  <c r="P86" i="19" s="1"/>
  <c r="BP107" i="34"/>
  <c r="P102" i="19" s="1"/>
  <c r="BP73" i="34"/>
  <c r="P68" i="19" s="1"/>
  <c r="BP63" i="34"/>
  <c r="P58" i="19" s="1"/>
  <c r="BP99" i="34"/>
  <c r="P94" i="19" s="1"/>
  <c r="BP95" i="34"/>
  <c r="P90" i="19" s="1"/>
  <c r="BP44" i="34"/>
  <c r="P39" i="19" s="1"/>
  <c r="BP72" i="34"/>
  <c r="P67" i="19" s="1"/>
  <c r="BP47" i="34"/>
  <c r="P42" i="19" s="1"/>
  <c r="BP59" i="34"/>
  <c r="P54" i="19" s="1"/>
  <c r="BP106" i="34"/>
  <c r="P101" i="19" s="1"/>
  <c r="BP97" i="34"/>
  <c r="P92" i="19" s="1"/>
  <c r="BP100" i="34"/>
  <c r="P95" i="19" s="1"/>
  <c r="BP75" i="34"/>
  <c r="P70" i="19" s="1"/>
  <c r="BP87" i="34"/>
  <c r="P82" i="19" s="1"/>
  <c r="BP83" i="34"/>
  <c r="P78" i="19" s="1"/>
  <c r="BP60" i="34"/>
  <c r="P55" i="19" s="1"/>
  <c r="BP55" i="34"/>
  <c r="P50" i="19" s="1"/>
  <c r="BP46" i="34"/>
  <c r="P41" i="19" s="1"/>
  <c r="BP111" i="34"/>
  <c r="P106" i="19" s="1"/>
  <c r="BP103" i="34"/>
  <c r="P98" i="19" s="1"/>
  <c r="BP93" i="34"/>
  <c r="P88" i="19" s="1"/>
  <c r="BP61" i="34"/>
  <c r="P56" i="19" s="1"/>
  <c r="BP57" i="34"/>
  <c r="P52" i="19" s="1"/>
  <c r="BP43" i="34"/>
  <c r="P38" i="19" s="1"/>
  <c r="BP102" i="34"/>
  <c r="P97" i="19" s="1"/>
  <c r="BP89" i="34"/>
  <c r="P84" i="19" s="1"/>
  <c r="BP104" i="34"/>
  <c r="P99" i="19" s="1"/>
  <c r="BP96" i="34"/>
  <c r="P91" i="19" s="1"/>
  <c r="BP77" i="34"/>
  <c r="P72" i="19" s="1"/>
  <c r="BP82" i="34"/>
  <c r="P77" i="19" s="1"/>
  <c r="BP113" i="34"/>
  <c r="P108" i="19" s="1"/>
  <c r="BP40" i="34"/>
  <c r="P35" i="19" s="1"/>
  <c r="BP42" i="34"/>
  <c r="P37" i="19" s="1"/>
  <c r="BP76" i="34"/>
  <c r="P71" i="19" s="1"/>
  <c r="BP110" i="34"/>
  <c r="P105" i="19" s="1"/>
  <c r="BP79" i="34"/>
  <c r="P74" i="19" s="1"/>
  <c r="BP92" i="34"/>
  <c r="P87" i="19" s="1"/>
  <c r="BP88" i="34"/>
  <c r="P83" i="19" s="1"/>
  <c r="BP39" i="34"/>
  <c r="P34" i="19" s="1"/>
  <c r="BP94" i="34"/>
  <c r="P89" i="19" s="1"/>
  <c r="BP112" i="34"/>
  <c r="P107" i="19" s="1"/>
  <c r="BP109" i="34"/>
  <c r="P104" i="19" s="1"/>
  <c r="BP81" i="34"/>
  <c r="P76" i="19" s="1"/>
  <c r="BP45" i="34"/>
  <c r="P40" i="19" s="1"/>
  <c r="BP84" i="34"/>
  <c r="P79" i="19" s="1"/>
  <c r="BP108" i="34"/>
  <c r="P103" i="19" s="1"/>
  <c r="BP62" i="34"/>
  <c r="P57" i="19" s="1"/>
  <c r="BP80" i="34"/>
  <c r="P75" i="19" s="1"/>
  <c r="BP78" i="34"/>
  <c r="P73" i="19" s="1"/>
  <c r="BP51" i="34"/>
  <c r="P46" i="19" s="1"/>
  <c r="E33" i="10"/>
  <c r="F15" i="20"/>
  <c r="F14" i="5"/>
  <c r="F15" i="33" s="1"/>
  <c r="B4" i="24"/>
  <c r="B3" i="23"/>
  <c r="B3" i="32"/>
  <c r="C1" i="19"/>
  <c r="J6" i="19"/>
  <c r="AC33" i="22"/>
  <c r="AC32" i="22"/>
  <c r="AQ79" i="34" l="1"/>
  <c r="AS79" i="34" s="1"/>
  <c r="AT79" i="34" s="1"/>
  <c r="AU79" i="34" s="1"/>
  <c r="J74" i="19" s="1"/>
  <c r="X74" i="19" s="1"/>
  <c r="AQ85" i="34"/>
  <c r="AS85" i="34" s="1"/>
  <c r="AT85" i="34" s="1"/>
  <c r="AQ69" i="34"/>
  <c r="AS69" i="34" s="1"/>
  <c r="AT69" i="34" s="1"/>
  <c r="H64" i="19" s="1"/>
  <c r="W64" i="19" s="1"/>
  <c r="H78" i="19"/>
  <c r="W78" i="19" s="1"/>
  <c r="AQ83" i="34"/>
  <c r="AS83" i="34" s="1"/>
  <c r="AT83" i="34" s="1"/>
  <c r="AV29" i="34"/>
  <c r="I24" i="19" s="1"/>
  <c r="Y24" i="19" s="1"/>
  <c r="H24" i="19"/>
  <c r="W24" i="19" s="1"/>
  <c r="AU29" i="34"/>
  <c r="J24" i="19" s="1"/>
  <c r="X24" i="19" s="1"/>
  <c r="H74" i="19"/>
  <c r="W74" i="19" s="1"/>
  <c r="AV79" i="34"/>
  <c r="I74" i="19" s="1"/>
  <c r="Y74" i="19" s="1"/>
  <c r="AV28" i="34"/>
  <c r="I23" i="19" s="1"/>
  <c r="Y23" i="19" s="1"/>
  <c r="AU28" i="34"/>
  <c r="J23" i="19" s="1"/>
  <c r="X23" i="19" s="1"/>
  <c r="H23" i="19"/>
  <c r="W23" i="19" s="1"/>
  <c r="AU85" i="34"/>
  <c r="J80" i="19" s="1"/>
  <c r="X80" i="19" s="1"/>
  <c r="AV85" i="34"/>
  <c r="I80" i="19" s="1"/>
  <c r="Y80" i="19" s="1"/>
  <c r="H80" i="19"/>
  <c r="W80" i="19" s="1"/>
  <c r="AV69" i="34"/>
  <c r="I64" i="19" s="1"/>
  <c r="Y64" i="19" s="1"/>
  <c r="AU69" i="34"/>
  <c r="J64" i="19" s="1"/>
  <c r="X64" i="19" s="1"/>
  <c r="H19" i="19"/>
  <c r="W19" i="19" s="1"/>
  <c r="AV24" i="34"/>
  <c r="I19" i="19" s="1"/>
  <c r="Y19" i="19" s="1"/>
  <c r="AU24" i="34"/>
  <c r="J19" i="19" s="1"/>
  <c r="X19" i="19" s="1"/>
  <c r="AU44" i="34"/>
  <c r="J39" i="19" s="1"/>
  <c r="X39" i="19" s="1"/>
  <c r="AV44" i="34"/>
  <c r="I39" i="19" s="1"/>
  <c r="Y39" i="19" s="1"/>
  <c r="H39" i="19"/>
  <c r="W39" i="19" s="1"/>
  <c r="H45" i="19"/>
  <c r="W45" i="19" s="1"/>
  <c r="AU50" i="34"/>
  <c r="J45" i="19" s="1"/>
  <c r="X45" i="19" s="1"/>
  <c r="AV50" i="34"/>
  <c r="I45" i="19" s="1"/>
  <c r="Y45" i="19" s="1"/>
  <c r="H40" i="19"/>
  <c r="W40" i="19" s="1"/>
  <c r="AU45" i="34"/>
  <c r="J40" i="19" s="1"/>
  <c r="X40" i="19" s="1"/>
  <c r="AV45" i="34"/>
  <c r="I40" i="19" s="1"/>
  <c r="Y40" i="19" s="1"/>
  <c r="AV83" i="34"/>
  <c r="I78" i="19" s="1"/>
  <c r="Y78" i="19" s="1"/>
  <c r="AV49" i="34"/>
  <c r="I44" i="19" s="1"/>
  <c r="Y44" i="19" s="1"/>
  <c r="AU49" i="34"/>
  <c r="J44" i="19" s="1"/>
  <c r="X44" i="19" s="1"/>
  <c r="H44" i="19"/>
  <c r="W44" i="19" s="1"/>
  <c r="AO68" i="34"/>
  <c r="AO40" i="34"/>
  <c r="AQ40" i="34" s="1"/>
  <c r="AS40" i="34" s="1"/>
  <c r="AT40" i="34" s="1"/>
  <c r="H35" i="19" s="1"/>
  <c r="W35" i="19" s="1"/>
  <c r="AO46" i="34"/>
  <c r="AQ46" i="34" s="1"/>
  <c r="AS46" i="34" s="1"/>
  <c r="AT46" i="34" s="1"/>
  <c r="H41" i="19" s="1"/>
  <c r="W41" i="19" s="1"/>
  <c r="AO101" i="34"/>
  <c r="AO41" i="34"/>
  <c r="AQ41" i="34" s="1"/>
  <c r="AS41" i="34" s="1"/>
  <c r="AT41" i="34" s="1"/>
  <c r="AO43" i="34"/>
  <c r="AQ43" i="34" s="1"/>
  <c r="AS43" i="34" s="1"/>
  <c r="AT43" i="34" s="1"/>
  <c r="AO53" i="34"/>
  <c r="AQ53" i="34" s="1"/>
  <c r="AS53" i="34" s="1"/>
  <c r="AT53" i="34" s="1"/>
  <c r="AO52" i="34"/>
  <c r="AQ52" i="34" s="1"/>
  <c r="AS52" i="34" s="1"/>
  <c r="AT52" i="34" s="1"/>
  <c r="AV52" i="34" s="1"/>
  <c r="I47" i="19" s="1"/>
  <c r="Y47" i="19" s="1"/>
  <c r="AO47" i="34"/>
  <c r="AQ47" i="34" s="1"/>
  <c r="AS47" i="34" s="1"/>
  <c r="AT47" i="34" s="1"/>
  <c r="AE33" i="34"/>
  <c r="AG33" i="34" s="1"/>
  <c r="AI33" i="34" s="1"/>
  <c r="AK33" i="34" s="1"/>
  <c r="AM33" i="34" s="1"/>
  <c r="AE74" i="34"/>
  <c r="AG74" i="34" s="1"/>
  <c r="AI74" i="34" s="1"/>
  <c r="AK74" i="34" s="1"/>
  <c r="AM74" i="34" s="1"/>
  <c r="AC26" i="34"/>
  <c r="AE26" i="34" s="1"/>
  <c r="AG26" i="34" s="1"/>
  <c r="AI26" i="34" s="1"/>
  <c r="AK26" i="34" s="1"/>
  <c r="AM26" i="34" s="1"/>
  <c r="AC25" i="34"/>
  <c r="AE25" i="34" s="1"/>
  <c r="AG25" i="34" s="1"/>
  <c r="AI25" i="34" s="1"/>
  <c r="AK25" i="34" s="1"/>
  <c r="AM25" i="34" s="1"/>
  <c r="AC51" i="34"/>
  <c r="H10" i="19"/>
  <c r="W10" i="19" s="1"/>
  <c r="AV15" i="34"/>
  <c r="I10" i="19" s="1"/>
  <c r="Y10" i="19" s="1"/>
  <c r="AU15" i="34"/>
  <c r="J10" i="19" s="1"/>
  <c r="X10" i="19" s="1"/>
  <c r="AC96" i="34"/>
  <c r="AC105" i="34"/>
  <c r="AC35" i="34"/>
  <c r="AC48" i="34"/>
  <c r="AC108" i="34"/>
  <c r="AC81" i="34"/>
  <c r="AC70" i="34"/>
  <c r="AC22" i="34"/>
  <c r="AE22" i="34" s="1"/>
  <c r="AG22" i="34" s="1"/>
  <c r="AI22" i="34" s="1"/>
  <c r="AK22" i="34" s="1"/>
  <c r="AM22" i="34" s="1"/>
  <c r="AO22" i="34" s="1"/>
  <c r="AQ22" i="34" s="1"/>
  <c r="AS22" i="34" s="1"/>
  <c r="AT22" i="34" s="1"/>
  <c r="AC31" i="34"/>
  <c r="AC66" i="34"/>
  <c r="AU89" i="34"/>
  <c r="J84" i="19" s="1"/>
  <c r="X84" i="19" s="1"/>
  <c r="H84" i="19"/>
  <c r="W84" i="19" s="1"/>
  <c r="AV89" i="34"/>
  <c r="I84" i="19" s="1"/>
  <c r="Y84" i="19" s="1"/>
  <c r="AV30" i="34"/>
  <c r="I25" i="19" s="1"/>
  <c r="Y25" i="19" s="1"/>
  <c r="AU30" i="34"/>
  <c r="J25" i="19" s="1"/>
  <c r="X25" i="19" s="1"/>
  <c r="H94" i="19"/>
  <c r="W94" i="19" s="1"/>
  <c r="AV99" i="34"/>
  <c r="I94" i="19" s="1"/>
  <c r="Y94" i="19" s="1"/>
  <c r="AU99" i="34"/>
  <c r="J94" i="19" s="1"/>
  <c r="X94" i="19" s="1"/>
  <c r="AV95" i="34"/>
  <c r="I90" i="19" s="1"/>
  <c r="Y90" i="19" s="1"/>
  <c r="AU95" i="34"/>
  <c r="J90" i="19" s="1"/>
  <c r="X90" i="19" s="1"/>
  <c r="H90" i="19"/>
  <c r="W90" i="19" s="1"/>
  <c r="V103" i="34"/>
  <c r="W103" i="34" s="1"/>
  <c r="Y103" i="34" s="1"/>
  <c r="AA103" i="34" s="1"/>
  <c r="AC103" i="34" s="1"/>
  <c r="V100" i="34"/>
  <c r="W100" i="34" s="1"/>
  <c r="Y100" i="34" s="1"/>
  <c r="AA100" i="34" s="1"/>
  <c r="AC100" i="34" s="1"/>
  <c r="AE100" i="34" s="1"/>
  <c r="AG100" i="34" s="1"/>
  <c r="AI100" i="34" s="1"/>
  <c r="AK100" i="34" s="1"/>
  <c r="AM100" i="34" s="1"/>
  <c r="AO100" i="34" s="1"/>
  <c r="AQ100" i="34" s="1"/>
  <c r="AS100" i="34" s="1"/>
  <c r="AT100" i="34" s="1"/>
  <c r="AV59" i="34"/>
  <c r="I54" i="19" s="1"/>
  <c r="Y54" i="19" s="1"/>
  <c r="AU59" i="34"/>
  <c r="J54" i="19" s="1"/>
  <c r="X54" i="19" s="1"/>
  <c r="H54" i="19"/>
  <c r="W54" i="19" s="1"/>
  <c r="H12" i="19"/>
  <c r="W12" i="19" s="1"/>
  <c r="AV17" i="34"/>
  <c r="I12" i="19" s="1"/>
  <c r="Y12" i="19" s="1"/>
  <c r="AU17" i="34"/>
  <c r="J12" i="19" s="1"/>
  <c r="X12" i="19" s="1"/>
  <c r="AV32" i="34"/>
  <c r="I27" i="19" s="1"/>
  <c r="Y27" i="19" s="1"/>
  <c r="AU32" i="34"/>
  <c r="J27" i="19" s="1"/>
  <c r="X27" i="19" s="1"/>
  <c r="H27" i="19"/>
  <c r="W27" i="19" s="1"/>
  <c r="AV63" i="34"/>
  <c r="I58" i="19" s="1"/>
  <c r="Y58" i="19" s="1"/>
  <c r="AU63" i="34"/>
  <c r="J58" i="19" s="1"/>
  <c r="X58" i="19" s="1"/>
  <c r="H58" i="19"/>
  <c r="W58" i="19" s="1"/>
  <c r="V67" i="34"/>
  <c r="W67" i="34" s="1"/>
  <c r="Y67" i="34" s="1"/>
  <c r="AA67" i="34" s="1"/>
  <c r="AC67" i="34" s="1"/>
  <c r="AE67" i="34" s="1"/>
  <c r="AG67" i="34" s="1"/>
  <c r="AI67" i="34" s="1"/>
  <c r="AK67" i="34" s="1"/>
  <c r="AM67" i="34" s="1"/>
  <c r="AO67" i="34" s="1"/>
  <c r="AQ67" i="34" s="1"/>
  <c r="AS67" i="34" s="1"/>
  <c r="AT67" i="34" s="1"/>
  <c r="V90" i="34"/>
  <c r="W90" i="34" s="1"/>
  <c r="Y90" i="34" s="1"/>
  <c r="AA90" i="34" s="1"/>
  <c r="AV76" i="34"/>
  <c r="I71" i="19" s="1"/>
  <c r="Y71" i="19" s="1"/>
  <c r="H71" i="19"/>
  <c r="W71" i="19" s="1"/>
  <c r="AU76" i="34"/>
  <c r="J71" i="19" s="1"/>
  <c r="X71" i="19" s="1"/>
  <c r="AV19" i="34"/>
  <c r="I14" i="19" s="1"/>
  <c r="Y14" i="19" s="1"/>
  <c r="AU19" i="34"/>
  <c r="J14" i="19" s="1"/>
  <c r="X14" i="19" s="1"/>
  <c r="H14" i="19"/>
  <c r="W14" i="19" s="1"/>
  <c r="V56" i="34"/>
  <c r="W56" i="34" s="1"/>
  <c r="Y56" i="34" s="1"/>
  <c r="AA56" i="34" s="1"/>
  <c r="H68" i="19"/>
  <c r="W68" i="19" s="1"/>
  <c r="AV73" i="34"/>
  <c r="I68" i="19" s="1"/>
  <c r="Y68" i="19" s="1"/>
  <c r="AU73" i="34"/>
  <c r="J68" i="19" s="1"/>
  <c r="X68" i="19" s="1"/>
  <c r="V16" i="34"/>
  <c r="W16" i="34" s="1"/>
  <c r="Y16" i="34" s="1"/>
  <c r="AA16" i="34" s="1"/>
  <c r="V80" i="34"/>
  <c r="W80" i="34" s="1"/>
  <c r="Y80" i="34" s="1"/>
  <c r="AA80" i="34" s="1"/>
  <c r="AU61" i="34"/>
  <c r="J56" i="19" s="1"/>
  <c r="X56" i="19" s="1"/>
  <c r="AV61" i="34"/>
  <c r="I56" i="19" s="1"/>
  <c r="Y56" i="19" s="1"/>
  <c r="H56" i="19"/>
  <c r="W56" i="19" s="1"/>
  <c r="H22" i="19"/>
  <c r="W22" i="19" s="1"/>
  <c r="AU27" i="34"/>
  <c r="J22" i="19" s="1"/>
  <c r="X22" i="19" s="1"/>
  <c r="AV27" i="34"/>
  <c r="I22" i="19" s="1"/>
  <c r="Y22" i="19" s="1"/>
  <c r="AV113" i="34"/>
  <c r="I108" i="19" s="1"/>
  <c r="Y108" i="19" s="1"/>
  <c r="AU113" i="34"/>
  <c r="J108" i="19" s="1"/>
  <c r="X108" i="19" s="1"/>
  <c r="H108" i="19"/>
  <c r="W108" i="19" s="1"/>
  <c r="H32" i="19"/>
  <c r="W32" i="19" s="1"/>
  <c r="AV37" i="34"/>
  <c r="I32" i="19" s="1"/>
  <c r="Y32" i="19" s="1"/>
  <c r="AU37" i="34"/>
  <c r="J32" i="19" s="1"/>
  <c r="X32" i="19" s="1"/>
  <c r="AV57" i="34"/>
  <c r="I52" i="19" s="1"/>
  <c r="Y52" i="19" s="1"/>
  <c r="H52" i="19"/>
  <c r="W52" i="19" s="1"/>
  <c r="AU57" i="34"/>
  <c r="J52" i="19" s="1"/>
  <c r="X52" i="19" s="1"/>
  <c r="AV94" i="34"/>
  <c r="I89" i="19" s="1"/>
  <c r="Y89" i="19" s="1"/>
  <c r="AU94" i="34"/>
  <c r="J89" i="19" s="1"/>
  <c r="X89" i="19" s="1"/>
  <c r="H89" i="19"/>
  <c r="W89" i="19" s="1"/>
  <c r="AV75" i="34"/>
  <c r="I70" i="19" s="1"/>
  <c r="Y70" i="19" s="1"/>
  <c r="H70" i="19"/>
  <c r="W70" i="19" s="1"/>
  <c r="AU75" i="34"/>
  <c r="J70" i="19" s="1"/>
  <c r="X70" i="19" s="1"/>
  <c r="T42" i="34"/>
  <c r="AW92" i="34"/>
  <c r="EX92" i="34" s="1"/>
  <c r="FF92" i="34" s="1"/>
  <c r="FI92" i="34" s="1"/>
  <c r="P114" i="34"/>
  <c r="T98" i="34"/>
  <c r="T112" i="34"/>
  <c r="T104" i="34"/>
  <c r="H15" i="19"/>
  <c r="W15" i="19" s="1"/>
  <c r="AU20" i="34"/>
  <c r="AV20" i="34"/>
  <c r="I15" i="19" s="1"/>
  <c r="Y15" i="19" s="1"/>
  <c r="H25" i="19"/>
  <c r="W25" i="19" s="1"/>
  <c r="AU46" i="34"/>
  <c r="J41" i="19" s="1"/>
  <c r="X41" i="19" s="1"/>
  <c r="V14" i="34"/>
  <c r="W14" i="34" s="1"/>
  <c r="Y14" i="34" s="1"/>
  <c r="AA14" i="34" s="1"/>
  <c r="AC14" i="34" s="1"/>
  <c r="AE14" i="34" s="1"/>
  <c r="AG14" i="34" s="1"/>
  <c r="AI14" i="34" s="1"/>
  <c r="AK14" i="34" s="1"/>
  <c r="AM14" i="34" s="1"/>
  <c r="AO14" i="34" s="1"/>
  <c r="AQ14" i="34" s="1"/>
  <c r="AS14" i="34" s="1"/>
  <c r="AT14" i="34" s="1"/>
  <c r="V71" i="34"/>
  <c r="W71" i="34" s="1"/>
  <c r="Y71" i="34" s="1"/>
  <c r="AA71" i="34" s="1"/>
  <c r="AC71" i="34" s="1"/>
  <c r="AE71" i="34" s="1"/>
  <c r="AG71" i="34" s="1"/>
  <c r="AI71" i="34" s="1"/>
  <c r="AK71" i="34" s="1"/>
  <c r="AM71" i="34" s="1"/>
  <c r="AO71" i="34" s="1"/>
  <c r="AQ71" i="34" s="1"/>
  <c r="AS71" i="34" s="1"/>
  <c r="AT71" i="34" s="1"/>
  <c r="V58" i="34"/>
  <c r="W58" i="34" s="1"/>
  <c r="Y58" i="34" s="1"/>
  <c r="AA58" i="34" s="1"/>
  <c r="AC58" i="34" s="1"/>
  <c r="AE58" i="34" s="1"/>
  <c r="AG58" i="34" s="1"/>
  <c r="AI58" i="34" s="1"/>
  <c r="AK58" i="34" s="1"/>
  <c r="AM58" i="34" s="1"/>
  <c r="AO58" i="34" s="1"/>
  <c r="AQ58" i="34" s="1"/>
  <c r="AS58" i="34" s="1"/>
  <c r="AT58" i="34" s="1"/>
  <c r="V82" i="34"/>
  <c r="W82" i="34" s="1"/>
  <c r="Y82" i="34" s="1"/>
  <c r="AA82" i="34" s="1"/>
  <c r="AC82" i="34" s="1"/>
  <c r="AE82" i="34" s="1"/>
  <c r="AG82" i="34" s="1"/>
  <c r="AI82" i="34" s="1"/>
  <c r="AK82" i="34" s="1"/>
  <c r="AM82" i="34" s="1"/>
  <c r="T72" i="34"/>
  <c r="V72" i="34" s="1"/>
  <c r="W72" i="34" s="1"/>
  <c r="Y72" i="34" s="1"/>
  <c r="AA72" i="34" s="1"/>
  <c r="AW50" i="34"/>
  <c r="EX50" i="34" s="1"/>
  <c r="FF50" i="34" s="1"/>
  <c r="FI50" i="34" s="1"/>
  <c r="AW62" i="34"/>
  <c r="EX62" i="34" s="1"/>
  <c r="FF62" i="34" s="1"/>
  <c r="FI62" i="34" s="1"/>
  <c r="AW106" i="34"/>
  <c r="EX106" i="34" s="1"/>
  <c r="FF106" i="34" s="1"/>
  <c r="FI106" i="34" s="1"/>
  <c r="AW102" i="34"/>
  <c r="EX102" i="34" s="1"/>
  <c r="FF102" i="34" s="1"/>
  <c r="FI102" i="34" s="1"/>
  <c r="AW21" i="34"/>
  <c r="EX21" i="34" s="1"/>
  <c r="FF21" i="34" s="1"/>
  <c r="FH21" i="34" s="1"/>
  <c r="AW78" i="34"/>
  <c r="EX78" i="34" s="1"/>
  <c r="FF78" i="34" s="1"/>
  <c r="FH78" i="34" s="1"/>
  <c r="AV88" i="34"/>
  <c r="I83" i="19" s="1"/>
  <c r="Y83" i="19" s="1"/>
  <c r="AU88" i="34"/>
  <c r="J83" i="19" s="1"/>
  <c r="X83" i="19" s="1"/>
  <c r="AW55" i="34"/>
  <c r="EX55" i="34" s="1"/>
  <c r="FF55" i="34" s="1"/>
  <c r="FG55" i="34" s="1"/>
  <c r="AU111" i="34"/>
  <c r="J106" i="19" s="1"/>
  <c r="X106" i="19" s="1"/>
  <c r="AV111" i="34"/>
  <c r="I106" i="19" s="1"/>
  <c r="Y106" i="19" s="1"/>
  <c r="AV65" i="34"/>
  <c r="I60" i="19" s="1"/>
  <c r="Y60" i="19" s="1"/>
  <c r="AU65" i="34"/>
  <c r="J60" i="19" s="1"/>
  <c r="X60" i="19" s="1"/>
  <c r="AU86" i="34"/>
  <c r="J81" i="19" s="1"/>
  <c r="X81" i="19" s="1"/>
  <c r="AV86" i="34"/>
  <c r="I81" i="19" s="1"/>
  <c r="Y81" i="19" s="1"/>
  <c r="AW36" i="34"/>
  <c r="EX36" i="34" s="1"/>
  <c r="FF36" i="34" s="1"/>
  <c r="FI36" i="34" s="1"/>
  <c r="AW91" i="34"/>
  <c r="EX91" i="34" s="1"/>
  <c r="FF91" i="34" s="1"/>
  <c r="FI91" i="34" s="1"/>
  <c r="AW110" i="34"/>
  <c r="EX110" i="34" s="1"/>
  <c r="FF110" i="34" s="1"/>
  <c r="FG110" i="34" s="1"/>
  <c r="AU18" i="34"/>
  <c r="J13" i="19" s="1"/>
  <c r="X13" i="19" s="1"/>
  <c r="AV18" i="34"/>
  <c r="I13" i="19" s="1"/>
  <c r="Y13" i="19" s="1"/>
  <c r="AU39" i="34"/>
  <c r="J34" i="19" s="1"/>
  <c r="X34" i="19" s="1"/>
  <c r="AV39" i="34"/>
  <c r="I34" i="19" s="1"/>
  <c r="Y34" i="19" s="1"/>
  <c r="H106" i="19"/>
  <c r="W106" i="19" s="1"/>
  <c r="AW60" i="34"/>
  <c r="EX60" i="34" s="1"/>
  <c r="FF60" i="34" s="1"/>
  <c r="FH60" i="34" s="1"/>
  <c r="AW64" i="34"/>
  <c r="EX64" i="34" s="1"/>
  <c r="FF64" i="34" s="1"/>
  <c r="FI64" i="34" s="1"/>
  <c r="AW84" i="34"/>
  <c r="EX84" i="34" s="1"/>
  <c r="FF84" i="34" s="1"/>
  <c r="FH84" i="34" s="1"/>
  <c r="AV46" i="34"/>
  <c r="I41" i="19" s="1"/>
  <c r="Y41" i="19" s="1"/>
  <c r="H81" i="19"/>
  <c r="W81" i="19" s="1"/>
  <c r="H83" i="19"/>
  <c r="W83" i="19" s="1"/>
  <c r="AV38" i="34"/>
  <c r="I33" i="19" s="1"/>
  <c r="Y33" i="19" s="1"/>
  <c r="H72" i="19"/>
  <c r="W72" i="19" s="1"/>
  <c r="AW34" i="34"/>
  <c r="EX34" i="34" s="1"/>
  <c r="FF34" i="34" s="1"/>
  <c r="FG34" i="34" s="1"/>
  <c r="AW93" i="34"/>
  <c r="EX93" i="34" s="1"/>
  <c r="FF93" i="34" s="1"/>
  <c r="FI93" i="34" s="1"/>
  <c r="H60" i="19"/>
  <c r="W60" i="19" s="1"/>
  <c r="AU38" i="34"/>
  <c r="J33" i="19" s="1"/>
  <c r="X33" i="19" s="1"/>
  <c r="H33" i="19"/>
  <c r="W33" i="19" s="1"/>
  <c r="AV77" i="34"/>
  <c r="I72" i="19" s="1"/>
  <c r="Y72" i="19" s="1"/>
  <c r="AU77" i="34"/>
  <c r="J72" i="19" s="1"/>
  <c r="X72" i="19" s="1"/>
  <c r="H34" i="19"/>
  <c r="W34" i="19" s="1"/>
  <c r="H49" i="19"/>
  <c r="W49" i="19" s="1"/>
  <c r="H13" i="19"/>
  <c r="W13" i="19" s="1"/>
  <c r="AW29" i="34"/>
  <c r="EX29" i="34" s="1"/>
  <c r="FF29" i="34" s="1"/>
  <c r="AW23" i="34"/>
  <c r="EX23" i="34" s="1"/>
  <c r="FF23" i="34" s="1"/>
  <c r="FI23" i="34" s="1"/>
  <c r="AW107" i="34"/>
  <c r="EX107" i="34" s="1"/>
  <c r="FF107" i="34" s="1"/>
  <c r="FI107" i="34" s="1"/>
  <c r="AU109" i="34"/>
  <c r="J104" i="19" s="1"/>
  <c r="X104" i="19" s="1"/>
  <c r="AV109" i="34"/>
  <c r="I104" i="19" s="1"/>
  <c r="Y104" i="19" s="1"/>
  <c r="H104" i="19"/>
  <c r="W104" i="19" s="1"/>
  <c r="H82" i="19"/>
  <c r="W82" i="19" s="1"/>
  <c r="AU87" i="34"/>
  <c r="J82" i="19" s="1"/>
  <c r="X82" i="19" s="1"/>
  <c r="AV87" i="34"/>
  <c r="I82" i="19" s="1"/>
  <c r="Y82" i="19" s="1"/>
  <c r="H92" i="19"/>
  <c r="W92" i="19" s="1"/>
  <c r="AU97" i="34"/>
  <c r="AV97" i="34"/>
  <c r="I92" i="19" s="1"/>
  <c r="Y92" i="19" s="1"/>
  <c r="H8" i="19"/>
  <c r="W8" i="19" s="1"/>
  <c r="AV13" i="34"/>
  <c r="I8" i="19" s="1"/>
  <c r="Y8" i="19" s="1"/>
  <c r="AU13" i="34"/>
  <c r="R12" i="34"/>
  <c r="R114" i="34" s="1"/>
  <c r="M63" i="23"/>
  <c r="K63" i="23"/>
  <c r="AC36" i="22"/>
  <c r="F14" i="24"/>
  <c r="F15" i="10"/>
  <c r="F15" i="9"/>
  <c r="F16" i="7"/>
  <c r="F15" i="6"/>
  <c r="F16" i="8"/>
  <c r="G54" i="32"/>
  <c r="D54" i="32"/>
  <c r="B54" i="32"/>
  <c r="G52" i="32"/>
  <c r="D52" i="32"/>
  <c r="B52" i="32"/>
  <c r="G50" i="32"/>
  <c r="D50" i="32"/>
  <c r="B50" i="32"/>
  <c r="G48" i="32"/>
  <c r="D48" i="32"/>
  <c r="B48" i="32"/>
  <c r="D39" i="32"/>
  <c r="D38" i="32"/>
  <c r="D37" i="32"/>
  <c r="D36" i="32"/>
  <c r="K11" i="32"/>
  <c r="K10" i="32"/>
  <c r="N9" i="32"/>
  <c r="K9" i="32"/>
  <c r="K8" i="32"/>
  <c r="K7" i="32"/>
  <c r="K6" i="32"/>
  <c r="C1" i="32"/>
  <c r="M15" i="32" s="1"/>
  <c r="T40" i="4"/>
  <c r="E28" i="32" s="1"/>
  <c r="T41" i="4"/>
  <c r="E29" i="32" s="1"/>
  <c r="F28" i="32"/>
  <c r="F29" i="32"/>
  <c r="B28" i="32"/>
  <c r="B29" i="32"/>
  <c r="T39" i="4"/>
  <c r="E27" i="32" s="1"/>
  <c r="F27" i="32"/>
  <c r="B27" i="32"/>
  <c r="Y19" i="22"/>
  <c r="Y12" i="22"/>
  <c r="B8" i="22"/>
  <c r="B9" i="22"/>
  <c r="B10" i="22"/>
  <c r="B11" i="22"/>
  <c r="B12" i="22"/>
  <c r="B13" i="22"/>
  <c r="B14" i="22"/>
  <c r="B15" i="22"/>
  <c r="B16" i="22"/>
  <c r="B17" i="22"/>
  <c r="B18" i="22"/>
  <c r="B19" i="22"/>
  <c r="B20" i="22"/>
  <c r="B21" i="22"/>
  <c r="B22" i="22"/>
  <c r="B23" i="22"/>
  <c r="B24" i="22"/>
  <c r="B25" i="22"/>
  <c r="B26" i="22"/>
  <c r="B27" i="22"/>
  <c r="B28" i="22"/>
  <c r="B7" i="22"/>
  <c r="O28" i="22"/>
  <c r="M28" i="22"/>
  <c r="K28" i="22"/>
  <c r="I28" i="22"/>
  <c r="H28" i="22"/>
  <c r="B7" i="24"/>
  <c r="K7" i="24" s="1"/>
  <c r="B8" i="24"/>
  <c r="K8" i="24" s="1"/>
  <c r="B9" i="24"/>
  <c r="K9" i="24" s="1"/>
  <c r="B10" i="24"/>
  <c r="K10" i="24" s="1"/>
  <c r="B11" i="24"/>
  <c r="K11" i="24" s="1"/>
  <c r="B6" i="24"/>
  <c r="K6" i="24" s="1"/>
  <c r="M7" i="22"/>
  <c r="AW45" i="34" l="1"/>
  <c r="EX45" i="34" s="1"/>
  <c r="FF45" i="34" s="1"/>
  <c r="FI45" i="34" s="1"/>
  <c r="AW24" i="34"/>
  <c r="EX24" i="34" s="1"/>
  <c r="FF24" i="34" s="1"/>
  <c r="FI24" i="34" s="1"/>
  <c r="AW28" i="34"/>
  <c r="EX28" i="34" s="1"/>
  <c r="FF28" i="34" s="1"/>
  <c r="FI28" i="34" s="1"/>
  <c r="AW44" i="34"/>
  <c r="EX44" i="34" s="1"/>
  <c r="FF44" i="34" s="1"/>
  <c r="FI44" i="34" s="1"/>
  <c r="AW79" i="34"/>
  <c r="EX79" i="34" s="1"/>
  <c r="FF79" i="34" s="1"/>
  <c r="FH79" i="34" s="1"/>
  <c r="AQ68" i="34"/>
  <c r="AS68" i="34" s="1"/>
  <c r="AT68" i="34" s="1"/>
  <c r="AU68" i="34" s="1"/>
  <c r="J63" i="19" s="1"/>
  <c r="X63" i="19" s="1"/>
  <c r="AW69" i="34"/>
  <c r="EX69" i="34" s="1"/>
  <c r="FF69" i="34" s="1"/>
  <c r="FI69" i="34" s="1"/>
  <c r="AU83" i="34"/>
  <c r="J78" i="19" s="1"/>
  <c r="X78" i="19" s="1"/>
  <c r="AQ101" i="34"/>
  <c r="AS101" i="34" s="1"/>
  <c r="AT101" i="34" s="1"/>
  <c r="AV68" i="34"/>
  <c r="I63" i="19" s="1"/>
  <c r="Y63" i="19" s="1"/>
  <c r="AU53" i="34"/>
  <c r="AV53" i="34"/>
  <c r="I48" i="19" s="1"/>
  <c r="Y48" i="19" s="1"/>
  <c r="H48" i="19"/>
  <c r="W48" i="19" s="1"/>
  <c r="AU43" i="34"/>
  <c r="H38" i="19"/>
  <c r="W38" i="19" s="1"/>
  <c r="AV43" i="34"/>
  <c r="I38" i="19" s="1"/>
  <c r="Y38" i="19" s="1"/>
  <c r="AV41" i="34"/>
  <c r="I36" i="19" s="1"/>
  <c r="Y36" i="19" s="1"/>
  <c r="H36" i="19"/>
  <c r="W36" i="19" s="1"/>
  <c r="AU41" i="34"/>
  <c r="J36" i="19" s="1"/>
  <c r="X36" i="19" s="1"/>
  <c r="AU101" i="34"/>
  <c r="J96" i="19" s="1"/>
  <c r="X96" i="19" s="1"/>
  <c r="AV101" i="34"/>
  <c r="I96" i="19" s="1"/>
  <c r="Y96" i="19" s="1"/>
  <c r="H96" i="19"/>
  <c r="W96" i="19" s="1"/>
  <c r="H42" i="19"/>
  <c r="W42" i="19" s="1"/>
  <c r="AU47" i="34"/>
  <c r="J42" i="19" s="1"/>
  <c r="X42" i="19" s="1"/>
  <c r="AV47" i="34"/>
  <c r="I42" i="19" s="1"/>
  <c r="Y42" i="19" s="1"/>
  <c r="AO25" i="34"/>
  <c r="AQ25" i="34" s="1"/>
  <c r="AS25" i="34" s="1"/>
  <c r="AT25" i="34" s="1"/>
  <c r="AV40" i="34"/>
  <c r="I35" i="19" s="1"/>
  <c r="Y35" i="19" s="1"/>
  <c r="AU52" i="34"/>
  <c r="J47" i="19" s="1"/>
  <c r="X47" i="19" s="1"/>
  <c r="AU40" i="34"/>
  <c r="J35" i="19" s="1"/>
  <c r="X35" i="19" s="1"/>
  <c r="H47" i="19"/>
  <c r="W47" i="19" s="1"/>
  <c r="AW85" i="34"/>
  <c r="EX85" i="34" s="1"/>
  <c r="FF85" i="34" s="1"/>
  <c r="FH85" i="34" s="1"/>
  <c r="AO26" i="34"/>
  <c r="AQ26" i="34" s="1"/>
  <c r="AS26" i="34" s="1"/>
  <c r="AT26" i="34" s="1"/>
  <c r="AW49" i="34"/>
  <c r="EX49" i="34" s="1"/>
  <c r="FF49" i="34" s="1"/>
  <c r="FI49" i="34" s="1"/>
  <c r="AO82" i="34"/>
  <c r="AO74" i="34"/>
  <c r="AO33" i="34"/>
  <c r="AE81" i="34"/>
  <c r="AG81" i="34" s="1"/>
  <c r="AI81" i="34" s="1"/>
  <c r="AK81" i="34" s="1"/>
  <c r="AM81" i="34" s="1"/>
  <c r="AO81" i="34" s="1"/>
  <c r="AQ81" i="34" s="1"/>
  <c r="AS81" i="34" s="1"/>
  <c r="AT81" i="34" s="1"/>
  <c r="AE31" i="34"/>
  <c r="AG31" i="34" s="1"/>
  <c r="AI31" i="34" s="1"/>
  <c r="AK31" i="34" s="1"/>
  <c r="AM31" i="34" s="1"/>
  <c r="AO31" i="34" s="1"/>
  <c r="AE70" i="34"/>
  <c r="AG70" i="34" s="1"/>
  <c r="AI70" i="34" s="1"/>
  <c r="AK70" i="34" s="1"/>
  <c r="AM70" i="34" s="1"/>
  <c r="AE51" i="34"/>
  <c r="AG51" i="34" s="1"/>
  <c r="AI51" i="34" s="1"/>
  <c r="AK51" i="34" s="1"/>
  <c r="AM51" i="34" s="1"/>
  <c r="AO51" i="34" s="1"/>
  <c r="AQ51" i="34" s="1"/>
  <c r="AS51" i="34" s="1"/>
  <c r="AT51" i="34" s="1"/>
  <c r="AE66" i="34"/>
  <c r="AG66" i="34" s="1"/>
  <c r="AI66" i="34" s="1"/>
  <c r="AK66" i="34" s="1"/>
  <c r="AM66" i="34" s="1"/>
  <c r="AE48" i="34"/>
  <c r="AG48" i="34" s="1"/>
  <c r="AI48" i="34" s="1"/>
  <c r="AK48" i="34" s="1"/>
  <c r="AM48" i="34" s="1"/>
  <c r="AO48" i="34" s="1"/>
  <c r="AQ48" i="34" s="1"/>
  <c r="AS48" i="34" s="1"/>
  <c r="AT48" i="34" s="1"/>
  <c r="AE105" i="34"/>
  <c r="AG105" i="34" s="1"/>
  <c r="AI105" i="34" s="1"/>
  <c r="AK105" i="34" s="1"/>
  <c r="AM105" i="34" s="1"/>
  <c r="AE35" i="34"/>
  <c r="AG35" i="34" s="1"/>
  <c r="AI35" i="34" s="1"/>
  <c r="AK35" i="34" s="1"/>
  <c r="AM35" i="34" s="1"/>
  <c r="AE96" i="34"/>
  <c r="AG96" i="34" s="1"/>
  <c r="AI96" i="34" s="1"/>
  <c r="AK96" i="34" s="1"/>
  <c r="AM96" i="34" s="1"/>
  <c r="AE108" i="34"/>
  <c r="AG108" i="34" s="1"/>
  <c r="AI108" i="34" s="1"/>
  <c r="AK108" i="34" s="1"/>
  <c r="AM108" i="34" s="1"/>
  <c r="AE103" i="34"/>
  <c r="AG103" i="34" s="1"/>
  <c r="AI103" i="34" s="1"/>
  <c r="AK103" i="34" s="1"/>
  <c r="AM103" i="34" s="1"/>
  <c r="FG102" i="34"/>
  <c r="AW19" i="34"/>
  <c r="EX19" i="34" s="1"/>
  <c r="FF19" i="34" s="1"/>
  <c r="AW37" i="34"/>
  <c r="EX37" i="34" s="1"/>
  <c r="FF37" i="34" s="1"/>
  <c r="BE91" i="34"/>
  <c r="R86" i="19" s="1"/>
  <c r="FH93" i="34"/>
  <c r="AW75" i="34"/>
  <c r="EX75" i="34" s="1"/>
  <c r="FF75" i="34" s="1"/>
  <c r="FH75" i="34" s="1"/>
  <c r="FG92" i="34"/>
  <c r="AW99" i="34"/>
  <c r="EX99" i="34" s="1"/>
  <c r="FF99" i="34" s="1"/>
  <c r="FG99" i="34" s="1"/>
  <c r="AY102" i="34"/>
  <c r="EZ102" i="34" s="1"/>
  <c r="AW15" i="34"/>
  <c r="EX15" i="34" s="1"/>
  <c r="FF15" i="34" s="1"/>
  <c r="FG15" i="34" s="1"/>
  <c r="FH92" i="34"/>
  <c r="AC16" i="34"/>
  <c r="AC56" i="34"/>
  <c r="AC90" i="34"/>
  <c r="AU22" i="34"/>
  <c r="H17" i="19"/>
  <c r="W17" i="19" s="1"/>
  <c r="AC72" i="34"/>
  <c r="AC80" i="34"/>
  <c r="AY55" i="34"/>
  <c r="BC55" i="34" s="1"/>
  <c r="Q50" i="19" s="1"/>
  <c r="AC50" i="19" s="1"/>
  <c r="K87" i="19"/>
  <c r="Z87" i="19" s="1"/>
  <c r="AV22" i="34"/>
  <c r="I17" i="19" s="1"/>
  <c r="Y17" i="19" s="1"/>
  <c r="BE92" i="34"/>
  <c r="BH92" i="34" s="1"/>
  <c r="U87" i="19" s="1"/>
  <c r="AY92" i="34"/>
  <c r="BA92" i="34" s="1"/>
  <c r="FG50" i="34"/>
  <c r="K86" i="19"/>
  <c r="Z86" i="19" s="1"/>
  <c r="AW57" i="34"/>
  <c r="EX57" i="34" s="1"/>
  <c r="FF57" i="34" s="1"/>
  <c r="FH57" i="34" s="1"/>
  <c r="AW73" i="34"/>
  <c r="EX73" i="34" s="1"/>
  <c r="FF73" i="34" s="1"/>
  <c r="FH73" i="34" s="1"/>
  <c r="AW61" i="34"/>
  <c r="EX61" i="34" s="1"/>
  <c r="FF61" i="34" s="1"/>
  <c r="FH61" i="34" s="1"/>
  <c r="AW17" i="34"/>
  <c r="EX17" i="34" s="1"/>
  <c r="FF17" i="34" s="1"/>
  <c r="FH17" i="34" s="1"/>
  <c r="FG91" i="34"/>
  <c r="AV67" i="34"/>
  <c r="I62" i="19" s="1"/>
  <c r="Y62" i="19" s="1"/>
  <c r="H62" i="19"/>
  <c r="W62" i="19" s="1"/>
  <c r="AU67" i="34"/>
  <c r="J62" i="19" s="1"/>
  <c r="X62" i="19" s="1"/>
  <c r="AW113" i="34"/>
  <c r="EX113" i="34" s="1"/>
  <c r="FF113" i="34" s="1"/>
  <c r="FI113" i="34" s="1"/>
  <c r="AY60" i="34"/>
  <c r="EZ60" i="34" s="1"/>
  <c r="AW89" i="34"/>
  <c r="EX89" i="34" s="1"/>
  <c r="FF89" i="34" s="1"/>
  <c r="FH89" i="34" s="1"/>
  <c r="AW30" i="34"/>
  <c r="EX30" i="34" s="1"/>
  <c r="FF30" i="34" s="1"/>
  <c r="FI30" i="34" s="1"/>
  <c r="AW95" i="34"/>
  <c r="EX95" i="34" s="1"/>
  <c r="FF95" i="34" s="1"/>
  <c r="FI95" i="34" s="1"/>
  <c r="AW63" i="34"/>
  <c r="AY63" i="34" s="1"/>
  <c r="EZ63" i="34" s="1"/>
  <c r="AW59" i="34"/>
  <c r="EX59" i="34" s="1"/>
  <c r="FF59" i="34" s="1"/>
  <c r="FG59" i="34" s="1"/>
  <c r="AW94" i="34"/>
  <c r="EX94" i="34" s="1"/>
  <c r="FF94" i="34" s="1"/>
  <c r="FG94" i="34" s="1"/>
  <c r="AW76" i="34"/>
  <c r="EX76" i="34" s="1"/>
  <c r="FF76" i="34" s="1"/>
  <c r="FH76" i="34" s="1"/>
  <c r="T12" i="34"/>
  <c r="T114" i="34" s="1"/>
  <c r="AV100" i="34"/>
  <c r="I95" i="19" s="1"/>
  <c r="Y95" i="19" s="1"/>
  <c r="AU100" i="34"/>
  <c r="J95" i="19" s="1"/>
  <c r="X95" i="19" s="1"/>
  <c r="H95" i="19"/>
  <c r="W95" i="19" s="1"/>
  <c r="H9" i="19"/>
  <c r="W9" i="19" s="1"/>
  <c r="AV14" i="34"/>
  <c r="I9" i="19" s="1"/>
  <c r="Y9" i="19" s="1"/>
  <c r="AU14" i="34"/>
  <c r="J9" i="19" s="1"/>
  <c r="X9" i="19" s="1"/>
  <c r="V104" i="34"/>
  <c r="W104" i="34" s="1"/>
  <c r="Y104" i="34" s="1"/>
  <c r="AA104" i="34" s="1"/>
  <c r="AC104" i="34" s="1"/>
  <c r="AE104" i="34" s="1"/>
  <c r="AG104" i="34" s="1"/>
  <c r="AI104" i="34" s="1"/>
  <c r="AK104" i="34" s="1"/>
  <c r="AM104" i="34" s="1"/>
  <c r="AO104" i="34" s="1"/>
  <c r="AQ104" i="34" s="1"/>
  <c r="AS104" i="34" s="1"/>
  <c r="AT104" i="34" s="1"/>
  <c r="AW27" i="34"/>
  <c r="EX27" i="34" s="1"/>
  <c r="FF27" i="34" s="1"/>
  <c r="FI27" i="34" s="1"/>
  <c r="AW32" i="34"/>
  <c r="EX32" i="34" s="1"/>
  <c r="FF32" i="34" s="1"/>
  <c r="FI32" i="34" s="1"/>
  <c r="K57" i="19"/>
  <c r="Z57" i="19" s="1"/>
  <c r="AY36" i="34"/>
  <c r="EZ36" i="34" s="1"/>
  <c r="BE62" i="34"/>
  <c r="BH62" i="34" s="1"/>
  <c r="U57" i="19" s="1"/>
  <c r="K31" i="19"/>
  <c r="Z31" i="19" s="1"/>
  <c r="H66" i="19"/>
  <c r="W66" i="19" s="1"/>
  <c r="AU71" i="34"/>
  <c r="J66" i="19" s="1"/>
  <c r="X66" i="19" s="1"/>
  <c r="AV71" i="34"/>
  <c r="I66" i="19" s="1"/>
  <c r="Y66" i="19" s="1"/>
  <c r="H53" i="19"/>
  <c r="W53" i="19" s="1"/>
  <c r="AV58" i="34"/>
  <c r="I53" i="19" s="1"/>
  <c r="Y53" i="19" s="1"/>
  <c r="AU58" i="34"/>
  <c r="J53" i="19" s="1"/>
  <c r="X53" i="19" s="1"/>
  <c r="V112" i="34"/>
  <c r="W112" i="34" s="1"/>
  <c r="Y112" i="34" s="1"/>
  <c r="AA112" i="34" s="1"/>
  <c r="AC112" i="34" s="1"/>
  <c r="AE112" i="34" s="1"/>
  <c r="AG112" i="34" s="1"/>
  <c r="AI112" i="34" s="1"/>
  <c r="AK112" i="34" s="1"/>
  <c r="AM112" i="34" s="1"/>
  <c r="AO112" i="34" s="1"/>
  <c r="AQ112" i="34" s="1"/>
  <c r="AS112" i="34" s="1"/>
  <c r="AT112" i="34" s="1"/>
  <c r="AY62" i="34"/>
  <c r="EZ62" i="34" s="1"/>
  <c r="FG62" i="34"/>
  <c r="V98" i="34"/>
  <c r="W98" i="34" s="1"/>
  <c r="Y98" i="34" s="1"/>
  <c r="AA98" i="34" s="1"/>
  <c r="AC98" i="34" s="1"/>
  <c r="AE98" i="34" s="1"/>
  <c r="AG98" i="34" s="1"/>
  <c r="AI98" i="34" s="1"/>
  <c r="AK98" i="34" s="1"/>
  <c r="AM98" i="34" s="1"/>
  <c r="AO98" i="34" s="1"/>
  <c r="AQ98" i="34" s="1"/>
  <c r="AS98" i="34" s="1"/>
  <c r="AT98" i="34" s="1"/>
  <c r="V42" i="34"/>
  <c r="W42" i="34" s="1"/>
  <c r="Y42" i="34" s="1"/>
  <c r="AA42" i="34" s="1"/>
  <c r="AC42" i="34" s="1"/>
  <c r="AE42" i="34" s="1"/>
  <c r="AG42" i="34" s="1"/>
  <c r="AI42" i="34" s="1"/>
  <c r="AK42" i="34" s="1"/>
  <c r="AM42" i="34" s="1"/>
  <c r="FG36" i="34"/>
  <c r="J15" i="19"/>
  <c r="X15" i="19" s="1"/>
  <c r="AW20" i="34"/>
  <c r="BE44" i="34"/>
  <c r="BF44" i="34" s="1"/>
  <c r="S39" i="19" s="1"/>
  <c r="AY34" i="34"/>
  <c r="EZ34" i="34" s="1"/>
  <c r="FH50" i="34"/>
  <c r="K97" i="19"/>
  <c r="Z97" i="19" s="1"/>
  <c r="AY50" i="34"/>
  <c r="EZ50" i="34" s="1"/>
  <c r="AY44" i="34"/>
  <c r="M39" i="19" s="1"/>
  <c r="K101" i="19"/>
  <c r="Z101" i="19" s="1"/>
  <c r="AW111" i="34"/>
  <c r="EX111" i="34" s="1"/>
  <c r="FF111" i="34" s="1"/>
  <c r="FH111" i="34" s="1"/>
  <c r="BE50" i="34"/>
  <c r="BH50" i="34" s="1"/>
  <c r="U45" i="19" s="1"/>
  <c r="FI55" i="34"/>
  <c r="K29" i="19"/>
  <c r="Z29" i="19" s="1"/>
  <c r="AY84" i="34"/>
  <c r="EZ84" i="34" s="1"/>
  <c r="AY78" i="34"/>
  <c r="BC78" i="34" s="1"/>
  <c r="Q73" i="19" s="1"/>
  <c r="AC73" i="19" s="1"/>
  <c r="FH55" i="34"/>
  <c r="FH62" i="34"/>
  <c r="BE55" i="34"/>
  <c r="BG55" i="34" s="1"/>
  <c r="T50" i="19" s="1"/>
  <c r="K50" i="19"/>
  <c r="Z50" i="19" s="1"/>
  <c r="FH110" i="34"/>
  <c r="FH34" i="34"/>
  <c r="BE36" i="34"/>
  <c r="BF36" i="34" s="1"/>
  <c r="S31" i="19" s="1"/>
  <c r="BE102" i="34"/>
  <c r="R97" i="19" s="1"/>
  <c r="FH36" i="34"/>
  <c r="FH106" i="34"/>
  <c r="FH102" i="34"/>
  <c r="BE110" i="34"/>
  <c r="BH110" i="34" s="1"/>
  <c r="U105" i="19" s="1"/>
  <c r="K45" i="19"/>
  <c r="Z45" i="19" s="1"/>
  <c r="FG44" i="34"/>
  <c r="AW88" i="34"/>
  <c r="EX88" i="34" s="1"/>
  <c r="FF88" i="34" s="1"/>
  <c r="FG88" i="34" s="1"/>
  <c r="FG21" i="34"/>
  <c r="FG28" i="34"/>
  <c r="FI21" i="34"/>
  <c r="FH28" i="34"/>
  <c r="AY21" i="34"/>
  <c r="EZ21" i="34" s="1"/>
  <c r="AY28" i="34"/>
  <c r="M23" i="19" s="1"/>
  <c r="K16" i="19"/>
  <c r="Z16" i="19" s="1"/>
  <c r="BE21" i="34"/>
  <c r="BG21" i="34" s="1"/>
  <c r="T16" i="19" s="1"/>
  <c r="K102" i="19"/>
  <c r="Z102" i="19" s="1"/>
  <c r="BE28" i="34"/>
  <c r="BG28" i="34" s="1"/>
  <c r="T23" i="19" s="1"/>
  <c r="K23" i="19"/>
  <c r="Z23" i="19" s="1"/>
  <c r="FI110" i="34"/>
  <c r="BE106" i="34"/>
  <c r="BF106" i="34" s="1"/>
  <c r="S101" i="19" s="1"/>
  <c r="BE34" i="34"/>
  <c r="BG34" i="34" s="1"/>
  <c r="T29" i="19" s="1"/>
  <c r="FH44" i="34"/>
  <c r="K39" i="19"/>
  <c r="Z39" i="19" s="1"/>
  <c r="AY106" i="34"/>
  <c r="EZ106" i="34" s="1"/>
  <c r="FG106" i="34"/>
  <c r="FI34" i="34"/>
  <c r="BE78" i="34"/>
  <c r="BF78" i="34" s="1"/>
  <c r="S73" i="19" s="1"/>
  <c r="K73" i="19"/>
  <c r="Z73" i="19" s="1"/>
  <c r="FG78" i="34"/>
  <c r="AY85" i="34"/>
  <c r="EZ85" i="34" s="1"/>
  <c r="FI78" i="34"/>
  <c r="AY64" i="34"/>
  <c r="EZ64" i="34" s="1"/>
  <c r="AY91" i="34"/>
  <c r="EZ91" i="34" s="1"/>
  <c r="K19" i="19"/>
  <c r="Z19" i="19" s="1"/>
  <c r="K88" i="19"/>
  <c r="Z88" i="19" s="1"/>
  <c r="FG24" i="34"/>
  <c r="AY24" i="34"/>
  <c r="BA24" i="34" s="1"/>
  <c r="BE93" i="34"/>
  <c r="R88" i="19" s="1"/>
  <c r="FI60" i="34"/>
  <c r="FH64" i="34"/>
  <c r="FH24" i="34"/>
  <c r="K59" i="19"/>
  <c r="Z59" i="19" s="1"/>
  <c r="FG60" i="34"/>
  <c r="FG64" i="34"/>
  <c r="AY93" i="34"/>
  <c r="EZ93" i="34" s="1"/>
  <c r="BE64" i="34"/>
  <c r="BH64" i="34" s="1"/>
  <c r="U59" i="19" s="1"/>
  <c r="AW18" i="34"/>
  <c r="AY18" i="34" s="1"/>
  <c r="M13" i="19" s="1"/>
  <c r="BE24" i="34"/>
  <c r="BH24" i="34" s="1"/>
  <c r="U19" i="19" s="1"/>
  <c r="K55" i="19"/>
  <c r="Z55" i="19" s="1"/>
  <c r="FH91" i="34"/>
  <c r="BE60" i="34"/>
  <c r="BF60" i="34" s="1"/>
  <c r="S55" i="19" s="1"/>
  <c r="K105" i="19"/>
  <c r="Z105" i="19" s="1"/>
  <c r="AW65" i="34"/>
  <c r="BE84" i="34"/>
  <c r="BG84" i="34" s="1"/>
  <c r="T79" i="19" s="1"/>
  <c r="AY110" i="34"/>
  <c r="BA110" i="34" s="1"/>
  <c r="BE23" i="34"/>
  <c r="BG23" i="34" s="1"/>
  <c r="T18" i="19" s="1"/>
  <c r="AW86" i="34"/>
  <c r="AY23" i="34"/>
  <c r="M18" i="19" s="1"/>
  <c r="K18" i="19"/>
  <c r="Z18" i="19" s="1"/>
  <c r="AW38" i="34"/>
  <c r="EX38" i="34" s="1"/>
  <c r="FF38" i="34" s="1"/>
  <c r="AW39" i="34"/>
  <c r="BE79" i="34"/>
  <c r="R74" i="19" s="1"/>
  <c r="FI79" i="34"/>
  <c r="FG79" i="34"/>
  <c r="AY79" i="34"/>
  <c r="EZ79" i="34" s="1"/>
  <c r="FG84" i="34"/>
  <c r="AV54" i="34"/>
  <c r="I49" i="19" s="1"/>
  <c r="Y49" i="19" s="1"/>
  <c r="AU54" i="34"/>
  <c r="J49" i="19" s="1"/>
  <c r="X49" i="19" s="1"/>
  <c r="FI84" i="34"/>
  <c r="BE29" i="34"/>
  <c r="BF29" i="34" s="1"/>
  <c r="S24" i="19" s="1"/>
  <c r="FG93" i="34"/>
  <c r="K74" i="19"/>
  <c r="Z74" i="19" s="1"/>
  <c r="K79" i="19"/>
  <c r="Z79" i="19" s="1"/>
  <c r="AW46" i="34"/>
  <c r="K41" i="19" s="1"/>
  <c r="Z41" i="19" s="1"/>
  <c r="AW77" i="34"/>
  <c r="FG23" i="34"/>
  <c r="AY107" i="34"/>
  <c r="BC107" i="34" s="1"/>
  <c r="Q102" i="19" s="1"/>
  <c r="AC102" i="19" s="1"/>
  <c r="FH107" i="34"/>
  <c r="FG107" i="34"/>
  <c r="BE107" i="34"/>
  <c r="BH107" i="34" s="1"/>
  <c r="U102" i="19" s="1"/>
  <c r="AY45" i="34"/>
  <c r="M40" i="19" s="1"/>
  <c r="AY29" i="34"/>
  <c r="EZ29" i="34" s="1"/>
  <c r="K24" i="19"/>
  <c r="Z24" i="19" s="1"/>
  <c r="FH23" i="34"/>
  <c r="FG45" i="34"/>
  <c r="FH45" i="34"/>
  <c r="BE45" i="34"/>
  <c r="R40" i="19" s="1"/>
  <c r="K40" i="19"/>
  <c r="Z40" i="19" s="1"/>
  <c r="AW109" i="34"/>
  <c r="AW87" i="34"/>
  <c r="J92" i="19"/>
  <c r="X92" i="19" s="1"/>
  <c r="AW97" i="34"/>
  <c r="J48" i="19"/>
  <c r="X48" i="19" s="1"/>
  <c r="AW53" i="34"/>
  <c r="J8" i="19"/>
  <c r="X8" i="19" s="1"/>
  <c r="AW13" i="34"/>
  <c r="J38" i="19"/>
  <c r="X38" i="19" s="1"/>
  <c r="FH29" i="34"/>
  <c r="FI29" i="34"/>
  <c r="FG29" i="34"/>
  <c r="K64" i="23"/>
  <c r="M64" i="23"/>
  <c r="J28" i="22"/>
  <c r="W14" i="32"/>
  <c r="L1" i="32"/>
  <c r="F30" i="32"/>
  <c r="V15" i="32"/>
  <c r="B10" i="8"/>
  <c r="L10" i="8" s="1"/>
  <c r="B11" i="8"/>
  <c r="L11" i="8" s="1"/>
  <c r="B12" i="8"/>
  <c r="L12" i="8" s="1"/>
  <c r="B8" i="8"/>
  <c r="L8" i="8" s="1"/>
  <c r="B9" i="8"/>
  <c r="L9" i="8" s="1"/>
  <c r="B7" i="8"/>
  <c r="L7" i="8" s="1"/>
  <c r="B12" i="7"/>
  <c r="M12" i="7" s="1"/>
  <c r="B11" i="7"/>
  <c r="M11" i="7" s="1"/>
  <c r="B8" i="7"/>
  <c r="M8" i="7" s="1"/>
  <c r="B9" i="7"/>
  <c r="M9" i="7" s="1"/>
  <c r="B10" i="7"/>
  <c r="B7" i="7"/>
  <c r="M7" i="7" s="1"/>
  <c r="J11" i="6"/>
  <c r="J9" i="6"/>
  <c r="J10" i="6"/>
  <c r="J8" i="6"/>
  <c r="J7" i="6"/>
  <c r="J6" i="6"/>
  <c r="K7" i="23"/>
  <c r="K8" i="23"/>
  <c r="K9" i="23"/>
  <c r="K10" i="23"/>
  <c r="K11" i="23"/>
  <c r="K6" i="23"/>
  <c r="K7" i="5"/>
  <c r="K8" i="5"/>
  <c r="K9" i="5"/>
  <c r="K10" i="5"/>
  <c r="K11" i="5"/>
  <c r="K6" i="5"/>
  <c r="I27" i="22"/>
  <c r="I26" i="22"/>
  <c r="I25" i="22"/>
  <c r="I24" i="22"/>
  <c r="I20" i="22"/>
  <c r="I19" i="22"/>
  <c r="I18" i="22"/>
  <c r="I17" i="22"/>
  <c r="I16" i="22"/>
  <c r="I15" i="22"/>
  <c r="I14" i="22"/>
  <c r="I13" i="22"/>
  <c r="I12" i="22"/>
  <c r="I11" i="22"/>
  <c r="I10" i="22"/>
  <c r="I9" i="22"/>
  <c r="I8" i="22"/>
  <c r="H27" i="22"/>
  <c r="H26" i="22"/>
  <c r="H25" i="22"/>
  <c r="H24" i="22"/>
  <c r="H20" i="22"/>
  <c r="H19" i="22"/>
  <c r="H18" i="22"/>
  <c r="H17" i="22"/>
  <c r="H16" i="22"/>
  <c r="H15" i="22"/>
  <c r="H14" i="22"/>
  <c r="H13" i="22"/>
  <c r="H12" i="22"/>
  <c r="H11" i="22"/>
  <c r="H10" i="22"/>
  <c r="H9" i="22"/>
  <c r="H8" i="22"/>
  <c r="H7" i="22"/>
  <c r="I7" i="22"/>
  <c r="P100" i="31"/>
  <c r="I100" i="31"/>
  <c r="A100" i="31"/>
  <c r="P99" i="31"/>
  <c r="I99" i="31"/>
  <c r="A99" i="31"/>
  <c r="P98" i="31"/>
  <c r="I98" i="31"/>
  <c r="A98" i="31"/>
  <c r="P97" i="31"/>
  <c r="I97" i="31"/>
  <c r="A97" i="31"/>
  <c r="D23" i="31"/>
  <c r="J23" i="31" s="1"/>
  <c r="E16" i="31"/>
  <c r="M12" i="31"/>
  <c r="I11" i="31"/>
  <c r="A10" i="31"/>
  <c r="H8" i="31"/>
  <c r="A117" i="31" s="1"/>
  <c r="A4" i="31"/>
  <c r="D3" i="31"/>
  <c r="H112" i="31" s="1"/>
  <c r="P100" i="30"/>
  <c r="I100" i="30"/>
  <c r="A100" i="30"/>
  <c r="P99" i="30"/>
  <c r="I99" i="30"/>
  <c r="A99" i="30"/>
  <c r="P98" i="30"/>
  <c r="I98" i="30"/>
  <c r="A98" i="30"/>
  <c r="P97" i="30"/>
  <c r="I97" i="30"/>
  <c r="A97" i="30"/>
  <c r="D23" i="30"/>
  <c r="J23" i="30" s="1"/>
  <c r="E16" i="30"/>
  <c r="M12" i="30"/>
  <c r="I11" i="30"/>
  <c r="A10" i="30"/>
  <c r="H8" i="30"/>
  <c r="A117" i="30" s="1"/>
  <c r="A4" i="30"/>
  <c r="D3" i="30"/>
  <c r="H112" i="30" s="1"/>
  <c r="P100" i="29"/>
  <c r="I100" i="29"/>
  <c r="A100" i="29"/>
  <c r="P99" i="29"/>
  <c r="I99" i="29"/>
  <c r="A99" i="29"/>
  <c r="P98" i="29"/>
  <c r="I98" i="29"/>
  <c r="A98" i="29"/>
  <c r="P97" i="29"/>
  <c r="I97" i="29"/>
  <c r="A97" i="29"/>
  <c r="D23" i="29"/>
  <c r="J23" i="29" s="1"/>
  <c r="E16" i="29"/>
  <c r="M12" i="29"/>
  <c r="I11" i="29"/>
  <c r="A10" i="29"/>
  <c r="H8" i="29"/>
  <c r="A117" i="29" s="1"/>
  <c r="A4" i="29"/>
  <c r="D3" i="29"/>
  <c r="H112" i="29" s="1"/>
  <c r="P100" i="28"/>
  <c r="I100" i="28"/>
  <c r="A100" i="28"/>
  <c r="P99" i="28"/>
  <c r="I99" i="28"/>
  <c r="A99" i="28"/>
  <c r="P98" i="28"/>
  <c r="I98" i="28"/>
  <c r="A98" i="28"/>
  <c r="P97" i="28"/>
  <c r="I97" i="28"/>
  <c r="A97" i="28"/>
  <c r="D23" i="28"/>
  <c r="J23" i="28" s="1"/>
  <c r="E16" i="28"/>
  <c r="M12" i="28"/>
  <c r="I11" i="28"/>
  <c r="A10" i="28"/>
  <c r="H8" i="28"/>
  <c r="A117" i="28" s="1"/>
  <c r="A4" i="28"/>
  <c r="D3" i="28"/>
  <c r="H112" i="28" s="1"/>
  <c r="P100" i="27"/>
  <c r="I100" i="27"/>
  <c r="A100" i="27"/>
  <c r="P99" i="27"/>
  <c r="I99" i="27"/>
  <c r="A99" i="27"/>
  <c r="P98" i="27"/>
  <c r="I98" i="27"/>
  <c r="A98" i="27"/>
  <c r="P97" i="27"/>
  <c r="I97" i="27"/>
  <c r="A97" i="27"/>
  <c r="D23" i="27"/>
  <c r="J23" i="27" s="1"/>
  <c r="E16" i="27"/>
  <c r="M12" i="27"/>
  <c r="I11" i="27"/>
  <c r="A10" i="27"/>
  <c r="H8" i="27"/>
  <c r="A117" i="27" s="1"/>
  <c r="A4" i="27"/>
  <c r="D3" i="27"/>
  <c r="H112" i="27" s="1"/>
  <c r="P100" i="26"/>
  <c r="I100" i="26"/>
  <c r="A100" i="26"/>
  <c r="P99" i="26"/>
  <c r="I99" i="26"/>
  <c r="A99" i="26"/>
  <c r="P98" i="26"/>
  <c r="I98" i="26"/>
  <c r="A98" i="26"/>
  <c r="P97" i="26"/>
  <c r="I97" i="26"/>
  <c r="A97" i="26"/>
  <c r="D23" i="26"/>
  <c r="J23" i="26" s="1"/>
  <c r="E16" i="26"/>
  <c r="M12" i="26"/>
  <c r="I11" i="26"/>
  <c r="A10" i="26"/>
  <c r="H8" i="26"/>
  <c r="A117" i="26" s="1"/>
  <c r="A4" i="26"/>
  <c r="D3" i="26"/>
  <c r="H112" i="26" s="1"/>
  <c r="P100" i="25"/>
  <c r="I100" i="25"/>
  <c r="A100" i="25"/>
  <c r="P99" i="25"/>
  <c r="I99" i="25"/>
  <c r="A99" i="25"/>
  <c r="P98" i="25"/>
  <c r="I98" i="25"/>
  <c r="A98" i="25"/>
  <c r="A97" i="25"/>
  <c r="D23" i="25"/>
  <c r="J23" i="25" s="1"/>
  <c r="E16" i="25"/>
  <c r="M12" i="25"/>
  <c r="I11" i="25"/>
  <c r="A10" i="25"/>
  <c r="H8" i="25"/>
  <c r="A118" i="25" s="1"/>
  <c r="A4" i="25"/>
  <c r="D3" i="25"/>
  <c r="H113" i="25" s="1"/>
  <c r="M12" i="13"/>
  <c r="A10" i="13"/>
  <c r="H8" i="13"/>
  <c r="O79" i="24"/>
  <c r="K79" i="24"/>
  <c r="F79" i="24"/>
  <c r="B79" i="24"/>
  <c r="G56" i="24"/>
  <c r="D56" i="24"/>
  <c r="B56" i="24"/>
  <c r="G54" i="24"/>
  <c r="D54" i="24"/>
  <c r="B54" i="24"/>
  <c r="G52" i="24"/>
  <c r="D52" i="24"/>
  <c r="B52" i="24"/>
  <c r="G50" i="24"/>
  <c r="D50" i="24"/>
  <c r="B50" i="24"/>
  <c r="G48" i="24"/>
  <c r="D48" i="24"/>
  <c r="B48" i="24"/>
  <c r="G46" i="24"/>
  <c r="D46" i="24"/>
  <c r="B46" i="24"/>
  <c r="D37" i="24"/>
  <c r="D36" i="24"/>
  <c r="D35" i="24"/>
  <c r="D34" i="24"/>
  <c r="E7" i="24"/>
  <c r="N7" i="24" s="1"/>
  <c r="E6" i="24"/>
  <c r="N6" i="24" s="1"/>
  <c r="C2" i="24"/>
  <c r="M15" i="24" s="1"/>
  <c r="W15" i="24" s="1"/>
  <c r="D1" i="24"/>
  <c r="P98" i="13"/>
  <c r="P99" i="13"/>
  <c r="P100" i="13"/>
  <c r="I98" i="13"/>
  <c r="I99" i="13"/>
  <c r="I100" i="13"/>
  <c r="P97" i="13"/>
  <c r="I97" i="13"/>
  <c r="A98" i="13"/>
  <c r="A99" i="13"/>
  <c r="A100" i="13"/>
  <c r="A97" i="13"/>
  <c r="FH69" i="34" l="1"/>
  <c r="AY69" i="34"/>
  <c r="BC69" i="34" s="1"/>
  <c r="Q64" i="19" s="1"/>
  <c r="AC64" i="19" s="1"/>
  <c r="AQ74" i="34"/>
  <c r="AS74" i="34" s="1"/>
  <c r="AT74" i="34" s="1"/>
  <c r="H28" i="19"/>
  <c r="W28" i="19" s="1"/>
  <c r="AQ33" i="34"/>
  <c r="AS33" i="34" s="1"/>
  <c r="AT33" i="34" s="1"/>
  <c r="H63" i="19"/>
  <c r="W63" i="19" s="1"/>
  <c r="FG69" i="34"/>
  <c r="AQ31" i="34"/>
  <c r="AS31" i="34" s="1"/>
  <c r="AT31" i="34" s="1"/>
  <c r="H26" i="19" s="1"/>
  <c r="W26" i="19" s="1"/>
  <c r="AW83" i="34"/>
  <c r="K64" i="19"/>
  <c r="Z64" i="19" s="1"/>
  <c r="AY49" i="34"/>
  <c r="M44" i="19" s="1"/>
  <c r="BE49" i="34"/>
  <c r="BG49" i="34" s="1"/>
  <c r="T44" i="19" s="1"/>
  <c r="AW101" i="34"/>
  <c r="EX101" i="34" s="1"/>
  <c r="FF101" i="34" s="1"/>
  <c r="FH101" i="34" s="1"/>
  <c r="FH49" i="34"/>
  <c r="BE85" i="34"/>
  <c r="BH85" i="34" s="1"/>
  <c r="U80" i="19" s="1"/>
  <c r="K44" i="19"/>
  <c r="Z44" i="19" s="1"/>
  <c r="FG85" i="34"/>
  <c r="BE69" i="34"/>
  <c r="BG69" i="34" s="1"/>
  <c r="T64" i="19" s="1"/>
  <c r="FG49" i="34"/>
  <c r="AQ82" i="34"/>
  <c r="AS82" i="34" s="1"/>
  <c r="AT82" i="34" s="1"/>
  <c r="AW68" i="34"/>
  <c r="EX68" i="34" s="1"/>
  <c r="FF68" i="34" s="1"/>
  <c r="FI68" i="34" s="1"/>
  <c r="K80" i="19"/>
  <c r="Z80" i="19" s="1"/>
  <c r="BE83" i="34"/>
  <c r="BG83" i="34" s="1"/>
  <c r="T78" i="19" s="1"/>
  <c r="FI85" i="34"/>
  <c r="AU82" i="34"/>
  <c r="H77" i="19"/>
  <c r="W77" i="19" s="1"/>
  <c r="AV82" i="34"/>
  <c r="I77" i="19" s="1"/>
  <c r="Y77" i="19" s="1"/>
  <c r="AU25" i="34"/>
  <c r="AV25" i="34"/>
  <c r="I20" i="19" s="1"/>
  <c r="Y20" i="19" s="1"/>
  <c r="H20" i="19"/>
  <c r="W20" i="19" s="1"/>
  <c r="AU26" i="34"/>
  <c r="H21" i="19"/>
  <c r="W21" i="19" s="1"/>
  <c r="AV26" i="34"/>
  <c r="I21" i="19" s="1"/>
  <c r="Y21" i="19" s="1"/>
  <c r="AW47" i="34"/>
  <c r="EX47" i="34" s="1"/>
  <c r="FF47" i="34" s="1"/>
  <c r="AW52" i="34"/>
  <c r="AY52" i="34" s="1"/>
  <c r="EZ52" i="34" s="1"/>
  <c r="AW43" i="34"/>
  <c r="EX43" i="34" s="1"/>
  <c r="FF43" i="34" s="1"/>
  <c r="AW41" i="34"/>
  <c r="EX41" i="34" s="1"/>
  <c r="FF41" i="34" s="1"/>
  <c r="FH41" i="34" s="1"/>
  <c r="AW40" i="34"/>
  <c r="AO42" i="34"/>
  <c r="AQ42" i="34" s="1"/>
  <c r="AS42" i="34" s="1"/>
  <c r="AT42" i="34" s="1"/>
  <c r="BA69" i="34"/>
  <c r="FB69" i="34" s="1"/>
  <c r="FD69" i="34" s="1"/>
  <c r="FK69" i="34" s="1"/>
  <c r="AO103" i="34"/>
  <c r="AO108" i="34"/>
  <c r="AQ108" i="34" s="1"/>
  <c r="AS108" i="34" s="1"/>
  <c r="AT108" i="34" s="1"/>
  <c r="H76" i="19"/>
  <c r="W76" i="19" s="1"/>
  <c r="FG111" i="34"/>
  <c r="AU31" i="34"/>
  <c r="J26" i="19" s="1"/>
  <c r="X26" i="19" s="1"/>
  <c r="AO70" i="34"/>
  <c r="AQ70" i="34" s="1"/>
  <c r="AS70" i="34" s="1"/>
  <c r="AT70" i="34" s="1"/>
  <c r="AO96" i="34"/>
  <c r="AU48" i="34"/>
  <c r="J43" i="19" s="1"/>
  <c r="X43" i="19" s="1"/>
  <c r="AO66" i="34"/>
  <c r="AV51" i="34"/>
  <c r="I46" i="19" s="1"/>
  <c r="Y46" i="19" s="1"/>
  <c r="K32" i="19"/>
  <c r="Z32" i="19" s="1"/>
  <c r="AV31" i="34"/>
  <c r="I26" i="19" s="1"/>
  <c r="Y26" i="19" s="1"/>
  <c r="BE41" i="34"/>
  <c r="R36" i="19" s="1"/>
  <c r="AU33" i="34"/>
  <c r="AV33" i="34"/>
  <c r="I28" i="19" s="1"/>
  <c r="Y28" i="19" s="1"/>
  <c r="FI59" i="34"/>
  <c r="AO35" i="34"/>
  <c r="AO105" i="34"/>
  <c r="AY41" i="34"/>
  <c r="M36" i="19" s="1"/>
  <c r="AY111" i="34"/>
  <c r="M106" i="19" s="1"/>
  <c r="BE37" i="34"/>
  <c r="BG37" i="34" s="1"/>
  <c r="T32" i="19" s="1"/>
  <c r="K106" i="19"/>
  <c r="Z106" i="19" s="1"/>
  <c r="R101" i="19"/>
  <c r="BE19" i="34"/>
  <c r="BF19" i="34" s="1"/>
  <c r="S14" i="19" s="1"/>
  <c r="AY19" i="34"/>
  <c r="M14" i="19" s="1"/>
  <c r="BF55" i="34"/>
  <c r="S50" i="19" s="1"/>
  <c r="AY37" i="34"/>
  <c r="EZ37" i="34" s="1"/>
  <c r="K14" i="19"/>
  <c r="Z14" i="19" s="1"/>
  <c r="AE16" i="34"/>
  <c r="AG16" i="34" s="1"/>
  <c r="AI16" i="34" s="1"/>
  <c r="AK16" i="34" s="1"/>
  <c r="AM16" i="34" s="1"/>
  <c r="AE80" i="34"/>
  <c r="AG80" i="34" s="1"/>
  <c r="AI80" i="34" s="1"/>
  <c r="AK80" i="34" s="1"/>
  <c r="AM80" i="34" s="1"/>
  <c r="AO80" i="34" s="1"/>
  <c r="AQ80" i="34" s="1"/>
  <c r="AS80" i="34" s="1"/>
  <c r="AT80" i="34" s="1"/>
  <c r="AE72" i="34"/>
  <c r="AG72" i="34" s="1"/>
  <c r="AI72" i="34" s="1"/>
  <c r="AK72" i="34" s="1"/>
  <c r="AM72" i="34" s="1"/>
  <c r="AE90" i="34"/>
  <c r="AG90" i="34" s="1"/>
  <c r="AI90" i="34" s="1"/>
  <c r="AK90" i="34" s="1"/>
  <c r="AM90" i="34" s="1"/>
  <c r="AE56" i="34"/>
  <c r="AG56" i="34" s="1"/>
  <c r="AI56" i="34" s="1"/>
  <c r="AK56" i="34" s="1"/>
  <c r="AM56" i="34" s="1"/>
  <c r="R78" i="19"/>
  <c r="BH83" i="34"/>
  <c r="U78" i="19" s="1"/>
  <c r="AY61" i="34"/>
  <c r="M56" i="19" s="1"/>
  <c r="FI61" i="34"/>
  <c r="BF83" i="34"/>
  <c r="S78" i="19" s="1"/>
  <c r="BE61" i="34"/>
  <c r="BH61" i="34" s="1"/>
  <c r="U56" i="19" s="1"/>
  <c r="BG91" i="34"/>
  <c r="T86" i="19" s="1"/>
  <c r="BH91" i="34"/>
  <c r="U86" i="19" s="1"/>
  <c r="FG61" i="34"/>
  <c r="K56" i="19"/>
  <c r="Z56" i="19" s="1"/>
  <c r="BG92" i="34"/>
  <c r="T87" i="19" s="1"/>
  <c r="R50" i="19"/>
  <c r="BF69" i="34"/>
  <c r="S64" i="19" s="1"/>
  <c r="AY57" i="34"/>
  <c r="BC57" i="34" s="1"/>
  <c r="Q52" i="19" s="1"/>
  <c r="AC52" i="19" s="1"/>
  <c r="FI111" i="34"/>
  <c r="AY99" i="34"/>
  <c r="M94" i="19" s="1"/>
  <c r="BH55" i="34"/>
  <c r="U50" i="19" s="1"/>
  <c r="BA34" i="34"/>
  <c r="O29" i="19" s="1"/>
  <c r="M87" i="19"/>
  <c r="BE111" i="34"/>
  <c r="BH111" i="34" s="1"/>
  <c r="U106" i="19" s="1"/>
  <c r="K25" i="19"/>
  <c r="Z25" i="19" s="1"/>
  <c r="BE30" i="34"/>
  <c r="BF30" i="34" s="1"/>
  <c r="S25" i="19" s="1"/>
  <c r="AY94" i="34"/>
  <c r="M89" i="19" s="1"/>
  <c r="BC92" i="34"/>
  <c r="Q87" i="19" s="1"/>
  <c r="AC87" i="19" s="1"/>
  <c r="BH106" i="34"/>
  <c r="U101" i="19" s="1"/>
  <c r="BH69" i="34"/>
  <c r="U64" i="19" s="1"/>
  <c r="FI57" i="34"/>
  <c r="FG57" i="34"/>
  <c r="AY32" i="34"/>
  <c r="EZ32" i="34" s="1"/>
  <c r="AY30" i="34"/>
  <c r="BA30" i="34" s="1"/>
  <c r="R64" i="19"/>
  <c r="EZ92" i="34"/>
  <c r="FG30" i="34"/>
  <c r="R87" i="19"/>
  <c r="BC102" i="34"/>
  <c r="Q97" i="19" s="1"/>
  <c r="AC97" i="19" s="1"/>
  <c r="BF102" i="34"/>
  <c r="S97" i="19" s="1"/>
  <c r="BF91" i="34"/>
  <c r="S86" i="19" s="1"/>
  <c r="M64" i="19"/>
  <c r="BH102" i="34"/>
  <c r="U97" i="19" s="1"/>
  <c r="M50" i="19"/>
  <c r="K89" i="19"/>
  <c r="Z89" i="19" s="1"/>
  <c r="BA55" i="34"/>
  <c r="FB55" i="34" s="1"/>
  <c r="FD55" i="34" s="1"/>
  <c r="FK55" i="34" s="1"/>
  <c r="M97" i="19"/>
  <c r="M73" i="19"/>
  <c r="BG102" i="34"/>
  <c r="T97" i="19" s="1"/>
  <c r="EZ55" i="34"/>
  <c r="BA102" i="34"/>
  <c r="O97" i="19" s="1"/>
  <c r="BF92" i="34"/>
  <c r="S87" i="19" s="1"/>
  <c r="BC60" i="34"/>
  <c r="Q55" i="19" s="1"/>
  <c r="AC55" i="19" s="1"/>
  <c r="FH15" i="34"/>
  <c r="AY75" i="34"/>
  <c r="EZ75" i="34" s="1"/>
  <c r="BE15" i="34"/>
  <c r="BH15" i="34" s="1"/>
  <c r="U10" i="19" s="1"/>
  <c r="FI75" i="34"/>
  <c r="FI15" i="34"/>
  <c r="K10" i="19"/>
  <c r="Z10" i="19" s="1"/>
  <c r="FG75" i="34"/>
  <c r="FH30" i="34"/>
  <c r="BE75" i="34"/>
  <c r="R70" i="19" s="1"/>
  <c r="AY15" i="34"/>
  <c r="EZ15" i="34" s="1"/>
  <c r="K70" i="19"/>
  <c r="Z70" i="19" s="1"/>
  <c r="FI76" i="34"/>
  <c r="EZ69" i="34"/>
  <c r="FH99" i="34"/>
  <c r="FH94" i="34"/>
  <c r="R57" i="19"/>
  <c r="BE94" i="34"/>
  <c r="BF94" i="34" s="1"/>
  <c r="S89" i="19" s="1"/>
  <c r="BA78" i="34"/>
  <c r="O73" i="19" s="1"/>
  <c r="R45" i="19"/>
  <c r="BE88" i="34"/>
  <c r="BF88" i="34" s="1"/>
  <c r="S83" i="19" s="1"/>
  <c r="BE32" i="34"/>
  <c r="R27" i="19" s="1"/>
  <c r="K94" i="19"/>
  <c r="Z94" i="19" s="1"/>
  <c r="FI94" i="34"/>
  <c r="K27" i="19"/>
  <c r="Z27" i="19" s="1"/>
  <c r="FH32" i="34"/>
  <c r="FG32" i="34"/>
  <c r="AW67" i="34"/>
  <c r="EX67" i="34" s="1"/>
  <c r="FF67" i="34" s="1"/>
  <c r="FI67" i="34" s="1"/>
  <c r="FI99" i="34"/>
  <c r="BE99" i="34"/>
  <c r="BH99" i="34" s="1"/>
  <c r="U94" i="19" s="1"/>
  <c r="BA36" i="34"/>
  <c r="O31" i="19" s="1"/>
  <c r="K52" i="19"/>
  <c r="Z52" i="19" s="1"/>
  <c r="AY73" i="34"/>
  <c r="EZ73" i="34" s="1"/>
  <c r="M29" i="19"/>
  <c r="BE73" i="34"/>
  <c r="R68" i="19" s="1"/>
  <c r="FG73" i="34"/>
  <c r="R16" i="19"/>
  <c r="AY113" i="34"/>
  <c r="BA113" i="34" s="1"/>
  <c r="FB113" i="34" s="1"/>
  <c r="FD113" i="34" s="1"/>
  <c r="FI73" i="34"/>
  <c r="K71" i="19"/>
  <c r="Z71" i="19" s="1"/>
  <c r="K68" i="19"/>
  <c r="Z68" i="19" s="1"/>
  <c r="AY76" i="34"/>
  <c r="EZ76" i="34" s="1"/>
  <c r="BH21" i="34"/>
  <c r="U16" i="19" s="1"/>
  <c r="BE57" i="34"/>
  <c r="R52" i="19" s="1"/>
  <c r="J17" i="19"/>
  <c r="X17" i="19" s="1"/>
  <c r="AW22" i="34"/>
  <c r="BG106" i="34"/>
  <c r="T101" i="19" s="1"/>
  <c r="J21" i="19"/>
  <c r="X21" i="19" s="1"/>
  <c r="BC50" i="34"/>
  <c r="Q45" i="19" s="1"/>
  <c r="AC45" i="19" s="1"/>
  <c r="FG113" i="34"/>
  <c r="FI17" i="34"/>
  <c r="K12" i="19"/>
  <c r="Z12" i="19" s="1"/>
  <c r="AY17" i="34"/>
  <c r="M12" i="19" s="1"/>
  <c r="V12" i="34"/>
  <c r="W12" i="34" s="1"/>
  <c r="Y12" i="34" s="1"/>
  <c r="FH113" i="34"/>
  <c r="BE113" i="34"/>
  <c r="BG113" i="34" s="1"/>
  <c r="T108" i="19" s="1"/>
  <c r="FG17" i="34"/>
  <c r="BE76" i="34"/>
  <c r="R71" i="19" s="1"/>
  <c r="K108" i="19"/>
  <c r="Z108" i="19" s="1"/>
  <c r="K54" i="19"/>
  <c r="Z54" i="19" s="1"/>
  <c r="BE17" i="34"/>
  <c r="R12" i="19" s="1"/>
  <c r="FG76" i="34"/>
  <c r="J20" i="19"/>
  <c r="X20" i="19" s="1"/>
  <c r="BA23" i="34"/>
  <c r="O18" i="19" s="1"/>
  <c r="EZ78" i="34"/>
  <c r="FH88" i="34"/>
  <c r="EX40" i="34"/>
  <c r="FF40" i="34" s="1"/>
  <c r="AY40" i="34"/>
  <c r="K35" i="19"/>
  <c r="Z35" i="19" s="1"/>
  <c r="FI89" i="34"/>
  <c r="FH59" i="34"/>
  <c r="BE40" i="34"/>
  <c r="R35" i="19" s="1"/>
  <c r="AY59" i="34"/>
  <c r="M54" i="19" s="1"/>
  <c r="FI88" i="34"/>
  <c r="K84" i="19"/>
  <c r="Z84" i="19" s="1"/>
  <c r="BE27" i="34"/>
  <c r="BF27" i="34" s="1"/>
  <c r="S22" i="19" s="1"/>
  <c r="BE59" i="34"/>
  <c r="BF59" i="34" s="1"/>
  <c r="S54" i="19" s="1"/>
  <c r="M45" i="19"/>
  <c r="BG44" i="34"/>
  <c r="T39" i="19" s="1"/>
  <c r="AY89" i="34"/>
  <c r="EZ89" i="34" s="1"/>
  <c r="FH27" i="34"/>
  <c r="FG27" i="34"/>
  <c r="AW100" i="34"/>
  <c r="EX100" i="34" s="1"/>
  <c r="FF100" i="34" s="1"/>
  <c r="K90" i="19"/>
  <c r="Z90" i="19" s="1"/>
  <c r="BH44" i="34"/>
  <c r="U39" i="19" s="1"/>
  <c r="BH34" i="34"/>
  <c r="U29" i="19" s="1"/>
  <c r="BE89" i="34"/>
  <c r="BF89" i="34" s="1"/>
  <c r="S84" i="19" s="1"/>
  <c r="FG95" i="34"/>
  <c r="R39" i="19"/>
  <c r="M55" i="19"/>
  <c r="BF62" i="34"/>
  <c r="S57" i="19" s="1"/>
  <c r="FG89" i="34"/>
  <c r="AY27" i="34"/>
  <c r="BA27" i="34" s="1"/>
  <c r="O22" i="19" s="1"/>
  <c r="BE95" i="34"/>
  <c r="BF95" i="34" s="1"/>
  <c r="S90" i="19" s="1"/>
  <c r="AY95" i="34"/>
  <c r="M90" i="19" s="1"/>
  <c r="BA50" i="34"/>
  <c r="O45" i="19" s="1"/>
  <c r="M57" i="19"/>
  <c r="BA60" i="34"/>
  <c r="O55" i="19" s="1"/>
  <c r="BG62" i="34"/>
  <c r="T57" i="19" s="1"/>
  <c r="K22" i="19"/>
  <c r="Z22" i="19" s="1"/>
  <c r="BC62" i="34"/>
  <c r="Q57" i="19" s="1"/>
  <c r="AC57" i="19" s="1"/>
  <c r="BA62" i="34"/>
  <c r="O57" i="19" s="1"/>
  <c r="BF28" i="34"/>
  <c r="S23" i="19" s="1"/>
  <c r="FH95" i="34"/>
  <c r="EX63" i="34"/>
  <c r="FF63" i="34" s="1"/>
  <c r="BE63" i="34"/>
  <c r="K58" i="19"/>
  <c r="Z58" i="19" s="1"/>
  <c r="AU112" i="34"/>
  <c r="J107" i="19" s="1"/>
  <c r="X107" i="19" s="1"/>
  <c r="H107" i="19"/>
  <c r="W107" i="19" s="1"/>
  <c r="AV112" i="34"/>
  <c r="I107" i="19" s="1"/>
  <c r="Y107" i="19" s="1"/>
  <c r="AW71" i="34"/>
  <c r="AW14" i="34"/>
  <c r="EX20" i="34"/>
  <c r="FF20" i="34" s="1"/>
  <c r="BE20" i="34"/>
  <c r="K15" i="19"/>
  <c r="Z15" i="19" s="1"/>
  <c r="AY20" i="34"/>
  <c r="M79" i="19"/>
  <c r="BC44" i="34"/>
  <c r="Q39" i="19" s="1"/>
  <c r="AC39" i="19" s="1"/>
  <c r="H93" i="19"/>
  <c r="W93" i="19" s="1"/>
  <c r="AV98" i="34"/>
  <c r="I93" i="19" s="1"/>
  <c r="Y93" i="19" s="1"/>
  <c r="AU98" i="34"/>
  <c r="J93" i="19" s="1"/>
  <c r="X93" i="19" s="1"/>
  <c r="BC84" i="34"/>
  <c r="Q79" i="19" s="1"/>
  <c r="AC79" i="19" s="1"/>
  <c r="BA44" i="34"/>
  <c r="FB44" i="34" s="1"/>
  <c r="FD44" i="34" s="1"/>
  <c r="BA84" i="34"/>
  <c r="FB84" i="34" s="1"/>
  <c r="FD84" i="34" s="1"/>
  <c r="EZ44" i="34"/>
  <c r="R29" i="19"/>
  <c r="BF34" i="34"/>
  <c r="S29" i="19" s="1"/>
  <c r="AU104" i="34"/>
  <c r="H99" i="19"/>
  <c r="W99" i="19" s="1"/>
  <c r="AV104" i="34"/>
  <c r="I99" i="19" s="1"/>
  <c r="Y99" i="19" s="1"/>
  <c r="M31" i="19"/>
  <c r="J77" i="19"/>
  <c r="X77" i="19" s="1"/>
  <c r="AW82" i="34"/>
  <c r="AW58" i="34"/>
  <c r="BC64" i="34"/>
  <c r="Q59" i="19" s="1"/>
  <c r="AC59" i="19" s="1"/>
  <c r="M80" i="19"/>
  <c r="EZ24" i="34"/>
  <c r="R59" i="19"/>
  <c r="BG29" i="34"/>
  <c r="T24" i="19" s="1"/>
  <c r="BF110" i="34"/>
  <c r="S105" i="19" s="1"/>
  <c r="BA64" i="34"/>
  <c r="O59" i="19" s="1"/>
  <c r="BH29" i="34"/>
  <c r="U24" i="19" s="1"/>
  <c r="BG110" i="34"/>
  <c r="T105" i="19" s="1"/>
  <c r="M59" i="19"/>
  <c r="R105" i="19"/>
  <c r="BF64" i="34"/>
  <c r="S59" i="19" s="1"/>
  <c r="EZ110" i="34"/>
  <c r="BF50" i="34"/>
  <c r="S45" i="19" s="1"/>
  <c r="BG50" i="34"/>
  <c r="T45" i="19" s="1"/>
  <c r="BA91" i="34"/>
  <c r="O86" i="19" s="1"/>
  <c r="M101" i="19"/>
  <c r="BA63" i="34"/>
  <c r="FB63" i="34" s="1"/>
  <c r="FD63" i="34" s="1"/>
  <c r="BC85" i="34"/>
  <c r="Q80" i="19" s="1"/>
  <c r="AC80" i="19" s="1"/>
  <c r="M19" i="19"/>
  <c r="BA106" i="34"/>
  <c r="O101" i="19" s="1"/>
  <c r="M58" i="19"/>
  <c r="R31" i="19"/>
  <c r="BH36" i="34"/>
  <c r="U31" i="19" s="1"/>
  <c r="BA85" i="34"/>
  <c r="FB85" i="34" s="1"/>
  <c r="FD85" i="34" s="1"/>
  <c r="BC63" i="34"/>
  <c r="Q58" i="19" s="1"/>
  <c r="AC58" i="19" s="1"/>
  <c r="BC106" i="34"/>
  <c r="Q101" i="19" s="1"/>
  <c r="AC101" i="19" s="1"/>
  <c r="BG36" i="34"/>
  <c r="T31" i="19" s="1"/>
  <c r="BG78" i="34"/>
  <c r="T73" i="19" s="1"/>
  <c r="BA28" i="34"/>
  <c r="O23" i="19" s="1"/>
  <c r="K83" i="19"/>
  <c r="Z83" i="19" s="1"/>
  <c r="EZ28" i="34"/>
  <c r="BF21" i="34"/>
  <c r="S16" i="19" s="1"/>
  <c r="EZ23" i="34"/>
  <c r="AY88" i="34"/>
  <c r="EZ88" i="34" s="1"/>
  <c r="BC45" i="34"/>
  <c r="Q40" i="19" s="1"/>
  <c r="AC40" i="19" s="1"/>
  <c r="M16" i="19"/>
  <c r="R23" i="19"/>
  <c r="BA21" i="34"/>
  <c r="FB21" i="34" s="1"/>
  <c r="FD21" i="34" s="1"/>
  <c r="K13" i="19"/>
  <c r="Z13" i="19" s="1"/>
  <c r="BH28" i="34"/>
  <c r="U23" i="19" s="1"/>
  <c r="BH78" i="34"/>
  <c r="U73" i="19" s="1"/>
  <c r="BF93" i="34"/>
  <c r="S88" i="19" s="1"/>
  <c r="BG93" i="34"/>
  <c r="T88" i="19" s="1"/>
  <c r="M86" i="19"/>
  <c r="BH93" i="34"/>
  <c r="U88" i="19" s="1"/>
  <c r="BC91" i="34"/>
  <c r="Q86" i="19" s="1"/>
  <c r="AC86" i="19" s="1"/>
  <c r="R73" i="19"/>
  <c r="R18" i="19"/>
  <c r="BF23" i="34"/>
  <c r="S18" i="19" s="1"/>
  <c r="BF24" i="34"/>
  <c r="S19" i="19" s="1"/>
  <c r="BH23" i="34"/>
  <c r="U18" i="19" s="1"/>
  <c r="BG24" i="34"/>
  <c r="T19" i="19" s="1"/>
  <c r="BF84" i="34"/>
  <c r="S79" i="19" s="1"/>
  <c r="BE46" i="34"/>
  <c r="BF46" i="34" s="1"/>
  <c r="S41" i="19" s="1"/>
  <c r="R19" i="19"/>
  <c r="BG79" i="34"/>
  <c r="T74" i="19" s="1"/>
  <c r="R80" i="19"/>
  <c r="BF79" i="34"/>
  <c r="S74" i="19" s="1"/>
  <c r="R55" i="19"/>
  <c r="BH60" i="34"/>
  <c r="U55" i="19" s="1"/>
  <c r="BF85" i="34"/>
  <c r="S80" i="19" s="1"/>
  <c r="BG60" i="34"/>
  <c r="T55" i="19" s="1"/>
  <c r="BG85" i="34"/>
  <c r="T80" i="19" s="1"/>
  <c r="M105" i="19"/>
  <c r="M88" i="19"/>
  <c r="BG64" i="34"/>
  <c r="T59" i="19" s="1"/>
  <c r="M74" i="19"/>
  <c r="AY38" i="34"/>
  <c r="BC38" i="34" s="1"/>
  <c r="Q33" i="19" s="1"/>
  <c r="AC33" i="19" s="1"/>
  <c r="BA93" i="34"/>
  <c r="O88" i="19" s="1"/>
  <c r="EX18" i="34"/>
  <c r="FF18" i="34" s="1"/>
  <c r="BE18" i="34"/>
  <c r="K33" i="19"/>
  <c r="Z33" i="19" s="1"/>
  <c r="BC110" i="34"/>
  <c r="Q105" i="19" s="1"/>
  <c r="AC105" i="19" s="1"/>
  <c r="BC79" i="34"/>
  <c r="Q74" i="19" s="1"/>
  <c r="AC74" i="19" s="1"/>
  <c r="BE38" i="34"/>
  <c r="R33" i="19" s="1"/>
  <c r="BH84" i="34"/>
  <c r="U79" i="19" s="1"/>
  <c r="BC93" i="34"/>
  <c r="Q88" i="19" s="1"/>
  <c r="AC88" i="19" s="1"/>
  <c r="R79" i="19"/>
  <c r="R24" i="19"/>
  <c r="BA18" i="34"/>
  <c r="FB18" i="34" s="1"/>
  <c r="FD18" i="34" s="1"/>
  <c r="EX65" i="34"/>
  <c r="FF65" i="34" s="1"/>
  <c r="BE65" i="34"/>
  <c r="K60" i="19"/>
  <c r="Z60" i="19" s="1"/>
  <c r="AY65" i="34"/>
  <c r="BF107" i="34"/>
  <c r="S102" i="19" s="1"/>
  <c r="EX86" i="34"/>
  <c r="FF86" i="34" s="1"/>
  <c r="AY86" i="34"/>
  <c r="BE86" i="34"/>
  <c r="K81" i="19"/>
  <c r="Z81" i="19" s="1"/>
  <c r="M102" i="19"/>
  <c r="EX39" i="34"/>
  <c r="FF39" i="34" s="1"/>
  <c r="BE39" i="34"/>
  <c r="AY39" i="34"/>
  <c r="K34" i="19"/>
  <c r="Z34" i="19" s="1"/>
  <c r="BA79" i="34"/>
  <c r="O74" i="19" s="1"/>
  <c r="BH79" i="34"/>
  <c r="U74" i="19" s="1"/>
  <c r="FG38" i="34"/>
  <c r="FH38" i="34"/>
  <c r="FI38" i="34"/>
  <c r="EX77" i="34"/>
  <c r="FF77" i="34" s="1"/>
  <c r="K72" i="19"/>
  <c r="Z72" i="19" s="1"/>
  <c r="BE77" i="34"/>
  <c r="AY77" i="34"/>
  <c r="EX52" i="34"/>
  <c r="FF52" i="34" s="1"/>
  <c r="EZ107" i="34"/>
  <c r="EX46" i="34"/>
  <c r="FF46" i="34" s="1"/>
  <c r="AY46" i="34"/>
  <c r="AW54" i="34"/>
  <c r="BA107" i="34"/>
  <c r="FB107" i="34" s="1"/>
  <c r="FD107" i="34" s="1"/>
  <c r="FK107" i="34" s="1"/>
  <c r="BG45" i="34"/>
  <c r="T40" i="19" s="1"/>
  <c r="BH45" i="34"/>
  <c r="U40" i="19" s="1"/>
  <c r="M47" i="19"/>
  <c r="BA45" i="34"/>
  <c r="O40" i="19" s="1"/>
  <c r="FG101" i="34"/>
  <c r="EZ45" i="34"/>
  <c r="K96" i="19"/>
  <c r="Z96" i="19" s="1"/>
  <c r="R102" i="19"/>
  <c r="BG107" i="34"/>
  <c r="T102" i="19" s="1"/>
  <c r="M24" i="19"/>
  <c r="BC111" i="34"/>
  <c r="Q106" i="19" s="1"/>
  <c r="AC106" i="19" s="1"/>
  <c r="R44" i="19"/>
  <c r="BF45" i="34"/>
  <c r="S40" i="19" s="1"/>
  <c r="BH49" i="34"/>
  <c r="U44" i="19" s="1"/>
  <c r="EZ18" i="34"/>
  <c r="BF49" i="34"/>
  <c r="S44" i="19" s="1"/>
  <c r="FI101" i="34"/>
  <c r="BA29" i="34"/>
  <c r="O24" i="19" s="1"/>
  <c r="AY101" i="34"/>
  <c r="BA101" i="34" s="1"/>
  <c r="BE101" i="34"/>
  <c r="EX109" i="34"/>
  <c r="FF109" i="34" s="1"/>
  <c r="BE109" i="34"/>
  <c r="AY109" i="34"/>
  <c r="K104" i="19"/>
  <c r="Z104" i="19" s="1"/>
  <c r="FH19" i="34"/>
  <c r="FG19" i="34"/>
  <c r="FI19" i="34"/>
  <c r="EX87" i="34"/>
  <c r="FF87" i="34" s="1"/>
  <c r="AY87" i="34"/>
  <c r="BE87" i="34"/>
  <c r="K82" i="19"/>
  <c r="Z82" i="19" s="1"/>
  <c r="EX13" i="34"/>
  <c r="FF13" i="34" s="1"/>
  <c r="BE13" i="34"/>
  <c r="K8" i="19"/>
  <c r="Z8" i="19" s="1"/>
  <c r="AY13" i="34"/>
  <c r="EX53" i="34"/>
  <c r="FF53" i="34" s="1"/>
  <c r="BE53" i="34"/>
  <c r="K48" i="19"/>
  <c r="Z48" i="19" s="1"/>
  <c r="AY53" i="34"/>
  <c r="EX97" i="34"/>
  <c r="FF97" i="34" s="1"/>
  <c r="K92" i="19"/>
  <c r="Z92" i="19" s="1"/>
  <c r="AY97" i="34"/>
  <c r="BE97" i="34"/>
  <c r="FI37" i="34"/>
  <c r="FG37" i="34"/>
  <c r="FH37" i="34"/>
  <c r="O87" i="19"/>
  <c r="FB92" i="34"/>
  <c r="FD92" i="34" s="1"/>
  <c r="O19" i="19"/>
  <c r="FB24" i="34"/>
  <c r="FD24" i="34" s="1"/>
  <c r="O105" i="19"/>
  <c r="FB110" i="34"/>
  <c r="FD110" i="34" s="1"/>
  <c r="M65" i="23"/>
  <c r="K65" i="23"/>
  <c r="Q28" i="22"/>
  <c r="B6" i="9"/>
  <c r="B6" i="20" s="1"/>
  <c r="B6" i="33"/>
  <c r="L6" i="33" s="1"/>
  <c r="B8" i="9"/>
  <c r="L8" i="9" s="1"/>
  <c r="B8" i="33"/>
  <c r="L8" i="33" s="1"/>
  <c r="B7" i="9"/>
  <c r="B7" i="20" s="1"/>
  <c r="B7" i="33"/>
  <c r="L7" i="33" s="1"/>
  <c r="B11" i="9"/>
  <c r="L11" i="9" s="1"/>
  <c r="B11" i="33"/>
  <c r="L11" i="33" s="1"/>
  <c r="B9" i="9"/>
  <c r="L9" i="9" s="1"/>
  <c r="B9" i="33"/>
  <c r="L9" i="33" s="1"/>
  <c r="B10" i="9"/>
  <c r="L10" i="9" s="1"/>
  <c r="B10" i="33"/>
  <c r="L10" i="33" s="1"/>
  <c r="L28" i="22"/>
  <c r="J13" i="22"/>
  <c r="J11" i="22"/>
  <c r="J19" i="22"/>
  <c r="J27" i="22"/>
  <c r="J10" i="22"/>
  <c r="J18" i="22"/>
  <c r="J26" i="22"/>
  <c r="J12" i="22"/>
  <c r="J20" i="22"/>
  <c r="X19" i="32"/>
  <c r="W15" i="32"/>
  <c r="Z18" i="32" s="1"/>
  <c r="M71" i="32" s="1"/>
  <c r="Z19" i="32"/>
  <c r="J14" i="22"/>
  <c r="J15" i="22"/>
  <c r="J8" i="22"/>
  <c r="J16" i="22"/>
  <c r="J24" i="22"/>
  <c r="J9" i="22"/>
  <c r="J17" i="22"/>
  <c r="J25" i="22"/>
  <c r="J7" i="22"/>
  <c r="L2" i="24"/>
  <c r="Y18" i="24"/>
  <c r="AA18" i="24"/>
  <c r="W16" i="24" s="1"/>
  <c r="W17" i="24" s="1"/>
  <c r="W18" i="24" s="1"/>
  <c r="W19" i="24" s="1"/>
  <c r="W20" i="24" s="1"/>
  <c r="W21" i="24" s="1"/>
  <c r="W22" i="24" s="1"/>
  <c r="W23" i="24" s="1"/>
  <c r="W24" i="24" s="1"/>
  <c r="W25" i="24" s="1"/>
  <c r="W26" i="24" s="1"/>
  <c r="W27" i="24" s="1"/>
  <c r="W28" i="24" s="1"/>
  <c r="W29" i="24" s="1"/>
  <c r="W30" i="24" s="1"/>
  <c r="W31" i="24" s="1"/>
  <c r="W32" i="24" s="1"/>
  <c r="W33" i="24" s="1"/>
  <c r="W34" i="24" s="1"/>
  <c r="W35" i="24" s="1"/>
  <c r="W36" i="24" s="1"/>
  <c r="W37" i="24" s="1"/>
  <c r="W38" i="24" s="1"/>
  <c r="W39" i="24" s="1"/>
  <c r="W40" i="24" s="1"/>
  <c r="W41" i="24" s="1"/>
  <c r="W42" i="24" s="1"/>
  <c r="W43" i="24" s="1"/>
  <c r="W44" i="24" s="1"/>
  <c r="W45" i="24" s="1"/>
  <c r="W46" i="24" s="1"/>
  <c r="W47" i="24" s="1"/>
  <c r="W48" i="24" s="1"/>
  <c r="W49" i="24" s="1"/>
  <c r="W50" i="24" s="1"/>
  <c r="W51" i="24" s="1"/>
  <c r="W52" i="24" s="1"/>
  <c r="W53" i="24" s="1"/>
  <c r="W54" i="24" s="1"/>
  <c r="W55" i="24" s="1"/>
  <c r="W56" i="24" s="1"/>
  <c r="W57" i="24" s="1"/>
  <c r="W58" i="24" s="1"/>
  <c r="K36" i="19" l="1"/>
  <c r="Z36" i="19" s="1"/>
  <c r="FI41" i="34"/>
  <c r="BC49" i="34"/>
  <c r="Q44" i="19" s="1"/>
  <c r="AC44" i="19" s="1"/>
  <c r="AQ35" i="34"/>
  <c r="AS35" i="34" s="1"/>
  <c r="AT35" i="34" s="1"/>
  <c r="H30" i="19" s="1"/>
  <c r="W30" i="19" s="1"/>
  <c r="AQ66" i="34"/>
  <c r="AS66" i="34" s="1"/>
  <c r="AT66" i="34" s="1"/>
  <c r="AV66" i="34" s="1"/>
  <c r="I61" i="19" s="1"/>
  <c r="Y61" i="19" s="1"/>
  <c r="H98" i="19"/>
  <c r="W98" i="19" s="1"/>
  <c r="AQ103" i="34"/>
  <c r="AS103" i="34" s="1"/>
  <c r="AT103" i="34" s="1"/>
  <c r="AV103" i="34" s="1"/>
  <c r="I98" i="19" s="1"/>
  <c r="Y98" i="19" s="1"/>
  <c r="AV74" i="34"/>
  <c r="I69" i="19" s="1"/>
  <c r="Y69" i="19" s="1"/>
  <c r="AU74" i="34"/>
  <c r="BA49" i="34"/>
  <c r="O44" i="19" s="1"/>
  <c r="EX83" i="34"/>
  <c r="FF83" i="34" s="1"/>
  <c r="K78" i="19"/>
  <c r="Z78" i="19" s="1"/>
  <c r="AY83" i="34"/>
  <c r="H69" i="19"/>
  <c r="W69" i="19" s="1"/>
  <c r="AQ105" i="34"/>
  <c r="AS105" i="34" s="1"/>
  <c r="AT105" i="34" s="1"/>
  <c r="AV105" i="34" s="1"/>
  <c r="I100" i="19" s="1"/>
  <c r="Y100" i="19" s="1"/>
  <c r="AQ96" i="34"/>
  <c r="AS96" i="34" s="1"/>
  <c r="AT96" i="34" s="1"/>
  <c r="H91" i="19" s="1"/>
  <c r="W91" i="19" s="1"/>
  <c r="EZ49" i="34"/>
  <c r="AW25" i="34"/>
  <c r="K63" i="19"/>
  <c r="Z63" i="19" s="1"/>
  <c r="AW26" i="34"/>
  <c r="EX26" i="34" s="1"/>
  <c r="FF26" i="34" s="1"/>
  <c r="BE68" i="34"/>
  <c r="R63" i="19" s="1"/>
  <c r="BH19" i="34"/>
  <c r="U14" i="19" s="1"/>
  <c r="FG68" i="34"/>
  <c r="FH68" i="34"/>
  <c r="AY68" i="34"/>
  <c r="EZ68" i="34" s="1"/>
  <c r="FG41" i="34"/>
  <c r="H37" i="19"/>
  <c r="W37" i="19" s="1"/>
  <c r="AV42" i="34"/>
  <c r="I37" i="19" s="1"/>
  <c r="Y37" i="19" s="1"/>
  <c r="AU42" i="34"/>
  <c r="BA52" i="34"/>
  <c r="O47" i="19" s="1"/>
  <c r="BC52" i="34"/>
  <c r="Q47" i="19" s="1"/>
  <c r="AC47" i="19" s="1"/>
  <c r="AO72" i="34"/>
  <c r="AU103" i="34"/>
  <c r="J98" i="19" s="1"/>
  <c r="X98" i="19" s="1"/>
  <c r="K42" i="19"/>
  <c r="Z42" i="19" s="1"/>
  <c r="AU105" i="34"/>
  <c r="J100" i="19" s="1"/>
  <c r="X100" i="19" s="1"/>
  <c r="AY47" i="34"/>
  <c r="EZ47" i="34" s="1"/>
  <c r="BE47" i="34"/>
  <c r="BG47" i="34" s="1"/>
  <c r="T42" i="19" s="1"/>
  <c r="AU35" i="34"/>
  <c r="J30" i="19" s="1"/>
  <c r="X30" i="19" s="1"/>
  <c r="K38" i="19"/>
  <c r="Z38" i="19" s="1"/>
  <c r="BE43" i="34"/>
  <c r="BG43" i="34" s="1"/>
  <c r="T38" i="19" s="1"/>
  <c r="AY43" i="34"/>
  <c r="M38" i="19" s="1"/>
  <c r="BE52" i="34"/>
  <c r="R47" i="19" s="1"/>
  <c r="BG19" i="34"/>
  <c r="T14" i="19" s="1"/>
  <c r="K47" i="19"/>
  <c r="Z47" i="19" s="1"/>
  <c r="BG41" i="34"/>
  <c r="T36" i="19" s="1"/>
  <c r="BA32" i="34"/>
  <c r="O27" i="19" s="1"/>
  <c r="M70" i="19"/>
  <c r="O64" i="19"/>
  <c r="EZ41" i="34"/>
  <c r="H61" i="19"/>
  <c r="W61" i="19" s="1"/>
  <c r="AV48" i="34"/>
  <c r="I43" i="19" s="1"/>
  <c r="Y43" i="19" s="1"/>
  <c r="H43" i="19"/>
  <c r="W43" i="19" s="1"/>
  <c r="BA94" i="34"/>
  <c r="O89" i="19" s="1"/>
  <c r="AU66" i="34"/>
  <c r="J61" i="19" s="1"/>
  <c r="X61" i="19" s="1"/>
  <c r="BA111" i="34"/>
  <c r="O106" i="19" s="1"/>
  <c r="BF41" i="34"/>
  <c r="S36" i="19" s="1"/>
  <c r="AU96" i="34"/>
  <c r="J91" i="19" s="1"/>
  <c r="X91" i="19" s="1"/>
  <c r="J28" i="19"/>
  <c r="X28" i="19" s="1"/>
  <c r="AW33" i="34"/>
  <c r="BH37" i="34"/>
  <c r="U32" i="19" s="1"/>
  <c r="AW31" i="34"/>
  <c r="BE31" i="34" s="1"/>
  <c r="AV96" i="34"/>
  <c r="I91" i="19" s="1"/>
  <c r="Y91" i="19" s="1"/>
  <c r="H46" i="19"/>
  <c r="W46" i="19" s="1"/>
  <c r="AV70" i="34"/>
  <c r="I65" i="19" s="1"/>
  <c r="Y65" i="19" s="1"/>
  <c r="AU70" i="34"/>
  <c r="J65" i="19" s="1"/>
  <c r="X65" i="19" s="1"/>
  <c r="AO16" i="34"/>
  <c r="BH41" i="34"/>
  <c r="U36" i="19" s="1"/>
  <c r="AV108" i="34"/>
  <c r="I103" i="19" s="1"/>
  <c r="Y103" i="19" s="1"/>
  <c r="AU108" i="34"/>
  <c r="J103" i="19" s="1"/>
  <c r="X103" i="19" s="1"/>
  <c r="AO90" i="34"/>
  <c r="AQ90" i="34" s="1"/>
  <c r="AS90" i="34" s="1"/>
  <c r="AT90" i="34" s="1"/>
  <c r="AV80" i="34"/>
  <c r="I75" i="19" s="1"/>
  <c r="Y75" i="19" s="1"/>
  <c r="AU51" i="34"/>
  <c r="J46" i="19" s="1"/>
  <c r="X46" i="19" s="1"/>
  <c r="H100" i="19"/>
  <c r="W100" i="19" s="1"/>
  <c r="H103" i="19"/>
  <c r="W103" i="19" s="1"/>
  <c r="H65" i="19"/>
  <c r="W65" i="19" s="1"/>
  <c r="EZ111" i="34"/>
  <c r="BC41" i="34"/>
  <c r="Q36" i="19" s="1"/>
  <c r="AC36" i="19" s="1"/>
  <c r="AO56" i="34"/>
  <c r="AQ56" i="34" s="1"/>
  <c r="AS56" i="34" s="1"/>
  <c r="AT56" i="34" s="1"/>
  <c r="AU81" i="34"/>
  <c r="AV81" i="34"/>
  <c r="I76" i="19" s="1"/>
  <c r="Y76" i="19" s="1"/>
  <c r="BA41" i="34"/>
  <c r="O36" i="19" s="1"/>
  <c r="AW103" i="34"/>
  <c r="AY103" i="34" s="1"/>
  <c r="M98" i="19" s="1"/>
  <c r="AV35" i="34"/>
  <c r="I30" i="19" s="1"/>
  <c r="Y30" i="19" s="1"/>
  <c r="BF61" i="34"/>
  <c r="S56" i="19" s="1"/>
  <c r="BA17" i="34"/>
  <c r="FB17" i="34" s="1"/>
  <c r="FD17" i="34" s="1"/>
  <c r="FB34" i="34"/>
  <c r="FD34" i="34" s="1"/>
  <c r="BG73" i="34"/>
  <c r="T68" i="19" s="1"/>
  <c r="BA75" i="34"/>
  <c r="O70" i="19" s="1"/>
  <c r="R14" i="19"/>
  <c r="BH73" i="34"/>
  <c r="U68" i="19" s="1"/>
  <c r="BC75" i="34"/>
  <c r="Q70" i="19" s="1"/>
  <c r="AC70" i="19" s="1"/>
  <c r="BA19" i="34"/>
  <c r="O14" i="19" s="1"/>
  <c r="M32" i="19"/>
  <c r="EZ19" i="34"/>
  <c r="BA37" i="34"/>
  <c r="FB37" i="34" s="1"/>
  <c r="FD37" i="34" s="1"/>
  <c r="FH67" i="34"/>
  <c r="R32" i="19"/>
  <c r="BF37" i="34"/>
  <c r="S32" i="19" s="1"/>
  <c r="M27" i="19"/>
  <c r="BA61" i="34"/>
  <c r="O56" i="19" s="1"/>
  <c r="BG15" i="34"/>
  <c r="T10" i="19" s="1"/>
  <c r="BG111" i="34"/>
  <c r="T106" i="19" s="1"/>
  <c r="BF73" i="34"/>
  <c r="S68" i="19" s="1"/>
  <c r="BC61" i="34"/>
  <c r="Q56" i="19" s="1"/>
  <c r="AC56" i="19" s="1"/>
  <c r="EZ61" i="34"/>
  <c r="R54" i="19"/>
  <c r="BA15" i="34"/>
  <c r="O10" i="19" s="1"/>
  <c r="M10" i="19"/>
  <c r="R106" i="19"/>
  <c r="AY67" i="34"/>
  <c r="BA67" i="34" s="1"/>
  <c r="O62" i="19" s="1"/>
  <c r="R56" i="19"/>
  <c r="BC73" i="34"/>
  <c r="Q68" i="19" s="1"/>
  <c r="AC68" i="19" s="1"/>
  <c r="BG59" i="34"/>
  <c r="T54" i="19" s="1"/>
  <c r="BA73" i="34"/>
  <c r="O68" i="19" s="1"/>
  <c r="BA99" i="34"/>
  <c r="FB99" i="34" s="1"/>
  <c r="FD99" i="34" s="1"/>
  <c r="BF32" i="34"/>
  <c r="S27" i="19" s="1"/>
  <c r="EZ94" i="34"/>
  <c r="BH59" i="34"/>
  <c r="U54" i="19" s="1"/>
  <c r="K62" i="19"/>
  <c r="Z62" i="19" s="1"/>
  <c r="BG61" i="34"/>
  <c r="T56" i="19" s="1"/>
  <c r="FG67" i="34"/>
  <c r="FK92" i="34"/>
  <c r="EZ99" i="34"/>
  <c r="BC99" i="34"/>
  <c r="Q94" i="19" s="1"/>
  <c r="AC94" i="19" s="1"/>
  <c r="BF75" i="34"/>
  <c r="S70" i="19" s="1"/>
  <c r="BF57" i="34"/>
  <c r="S52" i="19" s="1"/>
  <c r="M68" i="19"/>
  <c r="BE67" i="34"/>
  <c r="BG67" i="34" s="1"/>
  <c r="T62" i="19" s="1"/>
  <c r="O50" i="19"/>
  <c r="M63" i="19"/>
  <c r="FB30" i="34"/>
  <c r="FD30" i="34" s="1"/>
  <c r="O25" i="19"/>
  <c r="BC113" i="34"/>
  <c r="Q108" i="19" s="1"/>
  <c r="AC108" i="19" s="1"/>
  <c r="O58" i="19"/>
  <c r="O108" i="19"/>
  <c r="FB50" i="34"/>
  <c r="FD50" i="34" s="1"/>
  <c r="FK50" i="34" s="1"/>
  <c r="FB102" i="34"/>
  <c r="FD102" i="34" s="1"/>
  <c r="FK102" i="34" s="1"/>
  <c r="EZ57" i="34"/>
  <c r="FB78" i="34"/>
  <c r="FD78" i="34" s="1"/>
  <c r="FK78" i="34" s="1"/>
  <c r="BA57" i="34"/>
  <c r="FB57" i="34" s="1"/>
  <c r="FD57" i="34" s="1"/>
  <c r="FK57" i="34" s="1"/>
  <c r="BF111" i="34"/>
  <c r="S106" i="19" s="1"/>
  <c r="R25" i="19"/>
  <c r="M84" i="19"/>
  <c r="BG94" i="34"/>
  <c r="T89" i="19" s="1"/>
  <c r="BC94" i="34"/>
  <c r="Q89" i="19" s="1"/>
  <c r="AC89" i="19" s="1"/>
  <c r="M52" i="19"/>
  <c r="FB36" i="34"/>
  <c r="FD36" i="34" s="1"/>
  <c r="O79" i="19"/>
  <c r="O16" i="19"/>
  <c r="BF76" i="34"/>
  <c r="S71" i="19" s="1"/>
  <c r="BG99" i="34"/>
  <c r="T94" i="19" s="1"/>
  <c r="BG75" i="34"/>
  <c r="T70" i="19" s="1"/>
  <c r="BG32" i="34"/>
  <c r="T27" i="19" s="1"/>
  <c r="BH30" i="34"/>
  <c r="U25" i="19" s="1"/>
  <c r="BG30" i="34"/>
  <c r="T25" i="19" s="1"/>
  <c r="BH75" i="34"/>
  <c r="U70" i="19" s="1"/>
  <c r="BF99" i="34"/>
  <c r="S94" i="19" s="1"/>
  <c r="R94" i="19"/>
  <c r="BH32" i="34"/>
  <c r="U27" i="19" s="1"/>
  <c r="EZ30" i="34"/>
  <c r="M25" i="19"/>
  <c r="BC76" i="34"/>
  <c r="Q71" i="19" s="1"/>
  <c r="AC71" i="19" s="1"/>
  <c r="EZ113" i="34"/>
  <c r="BA89" i="34"/>
  <c r="O84" i="19" s="1"/>
  <c r="R83" i="19"/>
  <c r="BF15" i="34"/>
  <c r="S10" i="19" s="1"/>
  <c r="BG88" i="34"/>
  <c r="T83" i="19" s="1"/>
  <c r="BG76" i="34"/>
  <c r="T71" i="19" s="1"/>
  <c r="BA76" i="34"/>
  <c r="O71" i="19" s="1"/>
  <c r="R10" i="19"/>
  <c r="BC89" i="34"/>
  <c r="Q84" i="19" s="1"/>
  <c r="AC84" i="19" s="1"/>
  <c r="BG57" i="34"/>
  <c r="T52" i="19" s="1"/>
  <c r="BH57" i="34"/>
  <c r="U52" i="19" s="1"/>
  <c r="BH88" i="34"/>
  <c r="U83" i="19" s="1"/>
  <c r="FB60" i="34"/>
  <c r="FD60" i="34" s="1"/>
  <c r="FK60" i="34" s="1"/>
  <c r="M108" i="19"/>
  <c r="BH76" i="34"/>
  <c r="U71" i="19" s="1"/>
  <c r="BH94" i="34"/>
  <c r="U89" i="19" s="1"/>
  <c r="R89" i="19"/>
  <c r="V114" i="34"/>
  <c r="BC59" i="34"/>
  <c r="Q54" i="19" s="1"/>
  <c r="AC54" i="19" s="1"/>
  <c r="W114" i="34"/>
  <c r="EZ59" i="34"/>
  <c r="FK84" i="34"/>
  <c r="BA59" i="34"/>
  <c r="FB59" i="34" s="1"/>
  <c r="FD59" i="34" s="1"/>
  <c r="EZ17" i="34"/>
  <c r="FB106" i="34"/>
  <c r="FD106" i="34" s="1"/>
  <c r="FK106" i="34" s="1"/>
  <c r="R108" i="19"/>
  <c r="BH17" i="34"/>
  <c r="U12" i="19" s="1"/>
  <c r="M71" i="19"/>
  <c r="O80" i="19"/>
  <c r="BF113" i="34"/>
  <c r="S108" i="19" s="1"/>
  <c r="K95" i="19"/>
  <c r="Z95" i="19" s="1"/>
  <c r="BG17" i="34"/>
  <c r="T12" i="19" s="1"/>
  <c r="BH27" i="34"/>
  <c r="U22" i="19" s="1"/>
  <c r="AY100" i="34"/>
  <c r="M95" i="19" s="1"/>
  <c r="BH113" i="34"/>
  <c r="U108" i="19" s="1"/>
  <c r="EX22" i="34"/>
  <c r="FF22" i="34" s="1"/>
  <c r="AY22" i="34"/>
  <c r="K17" i="19"/>
  <c r="Z17" i="19" s="1"/>
  <c r="BE22" i="34"/>
  <c r="FB23" i="34"/>
  <c r="FD23" i="34" s="1"/>
  <c r="FB28" i="34"/>
  <c r="FD28" i="34" s="1"/>
  <c r="BE100" i="34"/>
  <c r="BG100" i="34" s="1"/>
  <c r="T95" i="19" s="1"/>
  <c r="BF17" i="34"/>
  <c r="S12" i="19" s="1"/>
  <c r="EX25" i="34"/>
  <c r="FF25" i="34" s="1"/>
  <c r="BE25" i="34"/>
  <c r="K20" i="19"/>
  <c r="Z20" i="19" s="1"/>
  <c r="AY25" i="34"/>
  <c r="FB62" i="34"/>
  <c r="FD62" i="34" s="1"/>
  <c r="FK62" i="34" s="1"/>
  <c r="BH95" i="34"/>
  <c r="U90" i="19" s="1"/>
  <c r="FK44" i="34"/>
  <c r="BA40" i="34"/>
  <c r="M35" i="19"/>
  <c r="EZ40" i="34"/>
  <c r="BC40" i="34"/>
  <c r="Q35" i="19" s="1"/>
  <c r="AC35" i="19" s="1"/>
  <c r="BG89" i="34"/>
  <c r="T84" i="19" s="1"/>
  <c r="R22" i="19"/>
  <c r="BA95" i="34"/>
  <c r="O90" i="19" s="1"/>
  <c r="BF40" i="34"/>
  <c r="S35" i="19" s="1"/>
  <c r="BG40" i="34"/>
  <c r="T35" i="19" s="1"/>
  <c r="BH40" i="34"/>
  <c r="U35" i="19" s="1"/>
  <c r="FH40" i="34"/>
  <c r="FI40" i="34"/>
  <c r="FG40" i="34"/>
  <c r="BG95" i="34"/>
  <c r="T90" i="19" s="1"/>
  <c r="BH89" i="34"/>
  <c r="U84" i="19" s="1"/>
  <c r="R84" i="19"/>
  <c r="BG27" i="34"/>
  <c r="T22" i="19" s="1"/>
  <c r="R90" i="19"/>
  <c r="EZ27" i="34"/>
  <c r="M22" i="19"/>
  <c r="BG68" i="34"/>
  <c r="T63" i="19" s="1"/>
  <c r="BH68" i="34"/>
  <c r="U63" i="19" s="1"/>
  <c r="O39" i="19"/>
  <c r="AW112" i="34"/>
  <c r="EZ95" i="34"/>
  <c r="BC95" i="34"/>
  <c r="Q90" i="19" s="1"/>
  <c r="AC90" i="19" s="1"/>
  <c r="BF68" i="34"/>
  <c r="S63" i="19" s="1"/>
  <c r="R58" i="19"/>
  <c r="BF63" i="34"/>
  <c r="S58" i="19" s="1"/>
  <c r="BH63" i="34"/>
  <c r="U58" i="19" s="1"/>
  <c r="BG63" i="34"/>
  <c r="T58" i="19" s="1"/>
  <c r="FG63" i="34"/>
  <c r="FI63" i="34"/>
  <c r="FH63" i="34"/>
  <c r="EX71" i="34"/>
  <c r="FF71" i="34" s="1"/>
  <c r="AY71" i="34"/>
  <c r="K66" i="19"/>
  <c r="Z66" i="19" s="1"/>
  <c r="BE71" i="34"/>
  <c r="J99" i="19"/>
  <c r="X99" i="19" s="1"/>
  <c r="AW104" i="34"/>
  <c r="EX58" i="34"/>
  <c r="FF58" i="34" s="1"/>
  <c r="BE58" i="34"/>
  <c r="K53" i="19"/>
  <c r="Z53" i="19" s="1"/>
  <c r="AY58" i="34"/>
  <c r="EX82" i="34"/>
  <c r="FF82" i="34" s="1"/>
  <c r="K77" i="19"/>
  <c r="Z77" i="19" s="1"/>
  <c r="BE82" i="34"/>
  <c r="AY82" i="34"/>
  <c r="AA12" i="34"/>
  <c r="AC12" i="34" s="1"/>
  <c r="AE12" i="34" s="1"/>
  <c r="Y114" i="34"/>
  <c r="EZ20" i="34"/>
  <c r="M15" i="19"/>
  <c r="BA20" i="34"/>
  <c r="EX14" i="34"/>
  <c r="FF14" i="34" s="1"/>
  <c r="K9" i="19"/>
  <c r="Z9" i="19" s="1"/>
  <c r="AY14" i="34"/>
  <c r="BE14" i="34"/>
  <c r="J37" i="19"/>
  <c r="X37" i="19" s="1"/>
  <c r="BH20" i="34"/>
  <c r="U15" i="19" s="1"/>
  <c r="BG20" i="34"/>
  <c r="T15" i="19" s="1"/>
  <c r="R15" i="19"/>
  <c r="BF20" i="34"/>
  <c r="S15" i="19" s="1"/>
  <c r="AW98" i="34"/>
  <c r="FH20" i="34"/>
  <c r="FI20" i="34"/>
  <c r="FG20" i="34"/>
  <c r="FK85" i="34"/>
  <c r="FB64" i="34"/>
  <c r="FD64" i="34" s="1"/>
  <c r="FK64" i="34" s="1"/>
  <c r="FB91" i="34"/>
  <c r="FD91" i="34" s="1"/>
  <c r="FK91" i="34" s="1"/>
  <c r="FK63" i="34"/>
  <c r="BA88" i="34"/>
  <c r="FB79" i="34"/>
  <c r="FD79" i="34" s="1"/>
  <c r="FK79" i="34" s="1"/>
  <c r="M33" i="19"/>
  <c r="EZ38" i="34"/>
  <c r="BC88" i="34"/>
  <c r="Q83" i="19" s="1"/>
  <c r="AC83" i="19" s="1"/>
  <c r="FK110" i="34"/>
  <c r="M83" i="19"/>
  <c r="R41" i="19"/>
  <c r="BG46" i="34"/>
  <c r="T41" i="19" s="1"/>
  <c r="BH46" i="34"/>
  <c r="U41" i="19" s="1"/>
  <c r="BF38" i="34"/>
  <c r="S33" i="19" s="1"/>
  <c r="O13" i="19"/>
  <c r="O102" i="19"/>
  <c r="FB93" i="34"/>
  <c r="FD93" i="34" s="1"/>
  <c r="FK93" i="34" s="1"/>
  <c r="BG38" i="34"/>
  <c r="T33" i="19" s="1"/>
  <c r="BH18" i="34"/>
  <c r="U13" i="19" s="1"/>
  <c r="BG18" i="34"/>
  <c r="T13" i="19" s="1"/>
  <c r="BF18" i="34"/>
  <c r="S13" i="19" s="1"/>
  <c r="R13" i="19"/>
  <c r="BA38" i="34"/>
  <c r="O33" i="19" s="1"/>
  <c r="BH38" i="34"/>
  <c r="U33" i="19" s="1"/>
  <c r="FH18" i="34"/>
  <c r="FI18" i="34"/>
  <c r="FG18" i="34"/>
  <c r="FH65" i="34"/>
  <c r="FI65" i="34"/>
  <c r="FG65" i="34"/>
  <c r="R60" i="19"/>
  <c r="BG65" i="34"/>
  <c r="T60" i="19" s="1"/>
  <c r="BF65" i="34"/>
  <c r="S60" i="19" s="1"/>
  <c r="BH65" i="34"/>
  <c r="U60" i="19" s="1"/>
  <c r="M60" i="19"/>
  <c r="BA65" i="34"/>
  <c r="EZ65" i="34"/>
  <c r="BC65" i="34"/>
  <c r="Q60" i="19" s="1"/>
  <c r="AC60" i="19" s="1"/>
  <c r="FB27" i="34"/>
  <c r="FD27" i="34" s="1"/>
  <c r="BH86" i="34"/>
  <c r="U81" i="19" s="1"/>
  <c r="BF86" i="34"/>
  <c r="S81" i="19" s="1"/>
  <c r="BG86" i="34"/>
  <c r="T81" i="19" s="1"/>
  <c r="R81" i="19"/>
  <c r="EZ86" i="34"/>
  <c r="BC86" i="34"/>
  <c r="Q81" i="19" s="1"/>
  <c r="AC81" i="19" s="1"/>
  <c r="BA86" i="34"/>
  <c r="M81" i="19"/>
  <c r="FG100" i="34"/>
  <c r="FH100" i="34"/>
  <c r="FI100" i="34"/>
  <c r="FI86" i="34"/>
  <c r="FH86" i="34"/>
  <c r="FG86" i="34"/>
  <c r="BH39" i="34"/>
  <c r="U34" i="19" s="1"/>
  <c r="BG39" i="34"/>
  <c r="T34" i="19" s="1"/>
  <c r="BF39" i="34"/>
  <c r="S34" i="19" s="1"/>
  <c r="R34" i="19"/>
  <c r="FG39" i="34"/>
  <c r="FI39" i="34"/>
  <c r="FH39" i="34"/>
  <c r="EZ39" i="34"/>
  <c r="BC39" i="34"/>
  <c r="Q34" i="19" s="1"/>
  <c r="AC34" i="19" s="1"/>
  <c r="M34" i="19"/>
  <c r="BA39" i="34"/>
  <c r="FG52" i="34"/>
  <c r="FH52" i="34"/>
  <c r="FI52" i="34"/>
  <c r="BG77" i="34"/>
  <c r="T72" i="19" s="1"/>
  <c r="BF77" i="34"/>
  <c r="S72" i="19" s="1"/>
  <c r="R72" i="19"/>
  <c r="BH77" i="34"/>
  <c r="U72" i="19" s="1"/>
  <c r="BG52" i="34"/>
  <c r="T47" i="19" s="1"/>
  <c r="M41" i="19"/>
  <c r="BA46" i="34"/>
  <c r="BC46" i="34"/>
  <c r="Q41" i="19" s="1"/>
  <c r="AC41" i="19" s="1"/>
  <c r="EZ46" i="34"/>
  <c r="FH46" i="34"/>
  <c r="FG46" i="34"/>
  <c r="FI46" i="34"/>
  <c r="EX54" i="34"/>
  <c r="FF54" i="34" s="1"/>
  <c r="BE54" i="34"/>
  <c r="AY54" i="34"/>
  <c r="K49" i="19"/>
  <c r="Z49" i="19" s="1"/>
  <c r="M72" i="19"/>
  <c r="EZ77" i="34"/>
  <c r="BA77" i="34"/>
  <c r="BC77" i="34"/>
  <c r="Q72" i="19" s="1"/>
  <c r="AC72" i="19" s="1"/>
  <c r="FH77" i="34"/>
  <c r="FI77" i="34"/>
  <c r="FG77" i="34"/>
  <c r="FB49" i="34"/>
  <c r="FD49" i="34" s="1"/>
  <c r="FK49" i="34" s="1"/>
  <c r="FB45" i="34"/>
  <c r="FD45" i="34" s="1"/>
  <c r="FK45" i="34" s="1"/>
  <c r="FB29" i="34"/>
  <c r="FD29" i="34" s="1"/>
  <c r="O96" i="19"/>
  <c r="FB101" i="34"/>
  <c r="FD101" i="34" s="1"/>
  <c r="BC101" i="34"/>
  <c r="Q96" i="19" s="1"/>
  <c r="AC96" i="19" s="1"/>
  <c r="BF101" i="34"/>
  <c r="S96" i="19" s="1"/>
  <c r="BH101" i="34"/>
  <c r="U96" i="19" s="1"/>
  <c r="BG101" i="34"/>
  <c r="T96" i="19" s="1"/>
  <c r="R96" i="19"/>
  <c r="EZ101" i="34"/>
  <c r="M96" i="19"/>
  <c r="EZ109" i="34"/>
  <c r="BC109" i="34"/>
  <c r="Q104" i="19" s="1"/>
  <c r="AC104" i="19" s="1"/>
  <c r="BA109" i="34"/>
  <c r="M104" i="19"/>
  <c r="BH109" i="34"/>
  <c r="U104" i="19" s="1"/>
  <c r="BG109" i="34"/>
  <c r="T104" i="19" s="1"/>
  <c r="BF109" i="34"/>
  <c r="S104" i="19" s="1"/>
  <c r="R104" i="19"/>
  <c r="FH109" i="34"/>
  <c r="FI109" i="34"/>
  <c r="FG109" i="34"/>
  <c r="BA87" i="34"/>
  <c r="M82" i="19"/>
  <c r="EZ87" i="34"/>
  <c r="BC87" i="34"/>
  <c r="Q82" i="19" s="1"/>
  <c r="AC82" i="19" s="1"/>
  <c r="FI97" i="34"/>
  <c r="FG97" i="34"/>
  <c r="FH97" i="34"/>
  <c r="FI47" i="34"/>
  <c r="FG47" i="34"/>
  <c r="FH47" i="34"/>
  <c r="FG87" i="34"/>
  <c r="FI87" i="34"/>
  <c r="FH87" i="34"/>
  <c r="EZ53" i="34"/>
  <c r="BC53" i="34"/>
  <c r="Q48" i="19" s="1"/>
  <c r="AC48" i="19" s="1"/>
  <c r="M48" i="19"/>
  <c r="BA53" i="34"/>
  <c r="EZ13" i="34"/>
  <c r="BA13" i="34"/>
  <c r="M8" i="19"/>
  <c r="BF53" i="34"/>
  <c r="S48" i="19" s="1"/>
  <c r="BH53" i="34"/>
  <c r="U48" i="19" s="1"/>
  <c r="BG53" i="34"/>
  <c r="T48" i="19" s="1"/>
  <c r="R48" i="19"/>
  <c r="BF13" i="34"/>
  <c r="S8" i="19" s="1"/>
  <c r="BH13" i="34"/>
  <c r="U8" i="19" s="1"/>
  <c r="R8" i="19"/>
  <c r="BG13" i="34"/>
  <c r="T8" i="19" s="1"/>
  <c r="FG53" i="34"/>
  <c r="FH53" i="34"/>
  <c r="FI53" i="34"/>
  <c r="FH13" i="34"/>
  <c r="FI13" i="34"/>
  <c r="FG13" i="34"/>
  <c r="FH43" i="34"/>
  <c r="FI43" i="34"/>
  <c r="FG43" i="34"/>
  <c r="BF97" i="34"/>
  <c r="S92" i="19" s="1"/>
  <c r="BH97" i="34"/>
  <c r="U92" i="19" s="1"/>
  <c r="R92" i="19"/>
  <c r="BG97" i="34"/>
  <c r="T92" i="19" s="1"/>
  <c r="EZ97" i="34"/>
  <c r="BC97" i="34"/>
  <c r="Q92" i="19" s="1"/>
  <c r="AC92" i="19" s="1"/>
  <c r="M92" i="19"/>
  <c r="BA97" i="34"/>
  <c r="BH87" i="34"/>
  <c r="U82" i="19" s="1"/>
  <c r="BF87" i="34"/>
  <c r="S82" i="19" s="1"/>
  <c r="R82" i="19"/>
  <c r="BG87" i="34"/>
  <c r="T82" i="19" s="1"/>
  <c r="W71" i="24"/>
  <c r="W59" i="24"/>
  <c r="W60" i="24" s="1"/>
  <c r="W61" i="24" s="1"/>
  <c r="W62" i="24" s="1"/>
  <c r="W63" i="24" s="1"/>
  <c r="W64" i="24" s="1"/>
  <c r="W65" i="24" s="1"/>
  <c r="W66" i="24" s="1"/>
  <c r="W67" i="24" s="1"/>
  <c r="W68" i="24" s="1"/>
  <c r="M66" i="23"/>
  <c r="K66" i="23"/>
  <c r="L7" i="9"/>
  <c r="B11" i="20"/>
  <c r="K11" i="20" s="1"/>
  <c r="B8" i="20"/>
  <c r="K8" i="20" s="1"/>
  <c r="B10" i="20"/>
  <c r="B10" i="10" s="1"/>
  <c r="K10" i="10" s="1"/>
  <c r="L6" i="9"/>
  <c r="B9" i="20"/>
  <c r="B9" i="10" s="1"/>
  <c r="K9" i="10" s="1"/>
  <c r="T28" i="22"/>
  <c r="S28" i="22"/>
  <c r="R28" i="22"/>
  <c r="N28" i="22"/>
  <c r="V16" i="32"/>
  <c r="V17" i="32" s="1"/>
  <c r="V18" i="32" s="1"/>
  <c r="V19" i="32" s="1"/>
  <c r="V20" i="32" s="1"/>
  <c r="V21" i="32" s="1"/>
  <c r="V22" i="32" s="1"/>
  <c r="V23" i="32" s="1"/>
  <c r="V24" i="32" s="1"/>
  <c r="V25" i="32" s="1"/>
  <c r="V26" i="32" s="1"/>
  <c r="V27" i="32" s="1"/>
  <c r="V28" i="32" s="1"/>
  <c r="V29" i="32" s="1"/>
  <c r="V30" i="32" s="1"/>
  <c r="V31" i="32" s="1"/>
  <c r="V32" i="32" s="1"/>
  <c r="V33" i="32" s="1"/>
  <c r="V34" i="32" s="1"/>
  <c r="V35" i="32" s="1"/>
  <c r="V36" i="32" s="1"/>
  <c r="V37" i="32" s="1"/>
  <c r="V38" i="32" s="1"/>
  <c r="V39" i="32" s="1"/>
  <c r="V40" i="32" s="1"/>
  <c r="V41" i="32" s="1"/>
  <c r="V42" i="32" s="1"/>
  <c r="V43" i="32" s="1"/>
  <c r="V44" i="32" s="1"/>
  <c r="V45" i="32" s="1"/>
  <c r="V46" i="32" s="1"/>
  <c r="V47" i="32" s="1"/>
  <c r="V48" i="32" s="1"/>
  <c r="V49" i="32" s="1"/>
  <c r="V50" i="32" s="1"/>
  <c r="V51" i="32" s="1"/>
  <c r="V52" i="32" s="1"/>
  <c r="V53" i="32" s="1"/>
  <c r="V54" i="32" s="1"/>
  <c r="V55" i="32" s="1"/>
  <c r="V56" i="32" s="1"/>
  <c r="V57" i="32" s="1"/>
  <c r="V58" i="32" s="1"/>
  <c r="V59" i="32" s="1"/>
  <c r="V60" i="32" s="1"/>
  <c r="V61" i="32" s="1"/>
  <c r="V62" i="32" s="1"/>
  <c r="V63" i="32" s="1"/>
  <c r="V64" i="32" s="1"/>
  <c r="V65" i="32" s="1"/>
  <c r="V66" i="32" s="1"/>
  <c r="V67" i="32" s="1"/>
  <c r="V68" i="32" s="1"/>
  <c r="V69" i="32" s="1"/>
  <c r="V70" i="32" s="1"/>
  <c r="X18" i="32"/>
  <c r="B6" i="10"/>
  <c r="K6" i="10" s="1"/>
  <c r="K6" i="20"/>
  <c r="K7" i="20"/>
  <c r="B7" i="10"/>
  <c r="K7" i="10" s="1"/>
  <c r="O27" i="22"/>
  <c r="O26" i="22"/>
  <c r="O25" i="22"/>
  <c r="O24" i="22"/>
  <c r="O20" i="22"/>
  <c r="O19" i="22"/>
  <c r="O18" i="22"/>
  <c r="O17" i="22"/>
  <c r="O16" i="22"/>
  <c r="O15" i="22"/>
  <c r="O14" i="22"/>
  <c r="O13" i="22"/>
  <c r="O12" i="22"/>
  <c r="O11" i="22"/>
  <c r="O10" i="22"/>
  <c r="O9" i="22"/>
  <c r="O8" i="22"/>
  <c r="O7" i="22"/>
  <c r="M27" i="22"/>
  <c r="M26" i="22"/>
  <c r="M25" i="22"/>
  <c r="M24" i="22"/>
  <c r="M20" i="22"/>
  <c r="M19" i="22"/>
  <c r="M18" i="22"/>
  <c r="M17" i="22"/>
  <c r="M16" i="22"/>
  <c r="M15" i="22"/>
  <c r="M14" i="22"/>
  <c r="M12" i="22"/>
  <c r="M11" i="22"/>
  <c r="M10" i="22"/>
  <c r="M9" i="22"/>
  <c r="M8" i="22"/>
  <c r="M13" i="22"/>
  <c r="K21" i="19" l="1"/>
  <c r="Z21" i="19" s="1"/>
  <c r="BC83" i="34"/>
  <c r="Q78" i="19" s="1"/>
  <c r="AC78" i="19" s="1"/>
  <c r="BA83" i="34"/>
  <c r="EZ83" i="34"/>
  <c r="M78" i="19"/>
  <c r="BE26" i="34"/>
  <c r="AV16" i="34"/>
  <c r="I11" i="19" s="1"/>
  <c r="Y11" i="19" s="1"/>
  <c r="AQ16" i="34"/>
  <c r="AS16" i="34" s="1"/>
  <c r="AT16" i="34" s="1"/>
  <c r="AY26" i="34"/>
  <c r="FG83" i="34"/>
  <c r="FI83" i="34"/>
  <c r="FH83" i="34"/>
  <c r="J69" i="19"/>
  <c r="X69" i="19" s="1"/>
  <c r="AW74" i="34"/>
  <c r="AW42" i="34"/>
  <c r="EX42" i="34" s="1"/>
  <c r="FF42" i="34" s="1"/>
  <c r="BF52" i="34"/>
  <c r="S47" i="19" s="1"/>
  <c r="BC43" i="34"/>
  <c r="Q38" i="19" s="1"/>
  <c r="AC38" i="19" s="1"/>
  <c r="BH43" i="34"/>
  <c r="U38" i="19" s="1"/>
  <c r="EZ43" i="34"/>
  <c r="BF43" i="34"/>
  <c r="S38" i="19" s="1"/>
  <c r="BC68" i="34"/>
  <c r="Q63" i="19" s="1"/>
  <c r="AC63" i="19" s="1"/>
  <c r="R38" i="19"/>
  <c r="BH52" i="34"/>
  <c r="U47" i="19" s="1"/>
  <c r="BA68" i="34"/>
  <c r="FB68" i="34" s="1"/>
  <c r="FD68" i="34" s="1"/>
  <c r="FK68" i="34" s="1"/>
  <c r="FB52" i="34"/>
  <c r="FD52" i="34" s="1"/>
  <c r="FK52" i="34" s="1"/>
  <c r="BA43" i="34"/>
  <c r="O38" i="19" s="1"/>
  <c r="AQ72" i="34"/>
  <c r="AS72" i="34" s="1"/>
  <c r="AT72" i="34" s="1"/>
  <c r="AV72" i="34"/>
  <c r="I67" i="19" s="1"/>
  <c r="Y67" i="19" s="1"/>
  <c r="AU72" i="34"/>
  <c r="J67" i="19" s="1"/>
  <c r="X67" i="19" s="1"/>
  <c r="M42" i="19"/>
  <c r="H67" i="19"/>
  <c r="W67" i="19" s="1"/>
  <c r="R42" i="19"/>
  <c r="FB32" i="34"/>
  <c r="FD32" i="34" s="1"/>
  <c r="BH47" i="34"/>
  <c r="U42" i="19" s="1"/>
  <c r="BF47" i="34"/>
  <c r="S42" i="19" s="1"/>
  <c r="BA47" i="34"/>
  <c r="FB47" i="34" s="1"/>
  <c r="FD47" i="34" s="1"/>
  <c r="AW105" i="34"/>
  <c r="EX105" i="34" s="1"/>
  <c r="FF105" i="34" s="1"/>
  <c r="FH105" i="34" s="1"/>
  <c r="BC47" i="34"/>
  <c r="Q42" i="19" s="1"/>
  <c r="AC42" i="19" s="1"/>
  <c r="K26" i="19"/>
  <c r="Z26" i="19" s="1"/>
  <c r="O12" i="19"/>
  <c r="AW48" i="34"/>
  <c r="EX48" i="34" s="1"/>
  <c r="FF48" i="34" s="1"/>
  <c r="FI48" i="34" s="1"/>
  <c r="FB19" i="34"/>
  <c r="FD19" i="34" s="1"/>
  <c r="EX103" i="34"/>
  <c r="FF103" i="34" s="1"/>
  <c r="FG103" i="34" s="1"/>
  <c r="BA103" i="34"/>
  <c r="FB103" i="34" s="1"/>
  <c r="FD103" i="34" s="1"/>
  <c r="AY31" i="34"/>
  <c r="EZ31" i="34" s="1"/>
  <c r="FB15" i="34"/>
  <c r="FD15" i="34" s="1"/>
  <c r="EX31" i="34"/>
  <c r="FF31" i="34" s="1"/>
  <c r="FI31" i="34" s="1"/>
  <c r="FB94" i="34"/>
  <c r="FD94" i="34" s="1"/>
  <c r="FK94" i="34" s="1"/>
  <c r="AW66" i="34"/>
  <c r="EX66" i="34" s="1"/>
  <c r="FF66" i="34" s="1"/>
  <c r="FI66" i="34" s="1"/>
  <c r="AU16" i="34"/>
  <c r="J11" i="19" s="1"/>
  <c r="X11" i="19" s="1"/>
  <c r="AW96" i="34"/>
  <c r="EX96" i="34" s="1"/>
  <c r="FF96" i="34" s="1"/>
  <c r="FG96" i="34" s="1"/>
  <c r="AW72" i="34"/>
  <c r="EX72" i="34" s="1"/>
  <c r="FF72" i="34" s="1"/>
  <c r="H11" i="19"/>
  <c r="W11" i="19" s="1"/>
  <c r="FB111" i="34"/>
  <c r="FD111" i="34" s="1"/>
  <c r="FK111" i="34" s="1"/>
  <c r="AV90" i="34"/>
  <c r="I85" i="19" s="1"/>
  <c r="Y85" i="19" s="1"/>
  <c r="AU90" i="34"/>
  <c r="AU56" i="34"/>
  <c r="J51" i="19" s="1"/>
  <c r="X51" i="19" s="1"/>
  <c r="FB41" i="34"/>
  <c r="FD41" i="34" s="1"/>
  <c r="FK41" i="34" s="1"/>
  <c r="K28" i="19"/>
  <c r="Z28" i="19" s="1"/>
  <c r="AY33" i="34"/>
  <c r="BE33" i="34"/>
  <c r="EX33" i="34"/>
  <c r="FF33" i="34" s="1"/>
  <c r="BC103" i="34"/>
  <c r="Q98" i="19" s="1"/>
  <c r="AC98" i="19" s="1"/>
  <c r="J76" i="19"/>
  <c r="X76" i="19" s="1"/>
  <c r="AW81" i="34"/>
  <c r="AW108" i="34"/>
  <c r="BE103" i="34"/>
  <c r="BH103" i="34" s="1"/>
  <c r="U98" i="19" s="1"/>
  <c r="AV56" i="34"/>
  <c r="I51" i="19" s="1"/>
  <c r="Y51" i="19" s="1"/>
  <c r="H75" i="19"/>
  <c r="W75" i="19" s="1"/>
  <c r="AW70" i="34"/>
  <c r="EZ103" i="34"/>
  <c r="AW51" i="34"/>
  <c r="EX51" i="34" s="1"/>
  <c r="FF51" i="34" s="1"/>
  <c r="FI51" i="34" s="1"/>
  <c r="AU80" i="34"/>
  <c r="J75" i="19" s="1"/>
  <c r="X75" i="19" s="1"/>
  <c r="AW35" i="34"/>
  <c r="O32" i="19"/>
  <c r="H85" i="19"/>
  <c r="W85" i="19" s="1"/>
  <c r="K98" i="19"/>
  <c r="Z98" i="19" s="1"/>
  <c r="H51" i="19"/>
  <c r="W51" i="19" s="1"/>
  <c r="O52" i="19"/>
  <c r="FB61" i="34"/>
  <c r="FD61" i="34" s="1"/>
  <c r="FK61" i="34" s="1"/>
  <c r="FB75" i="34"/>
  <c r="FD75" i="34" s="1"/>
  <c r="FK75" i="34" s="1"/>
  <c r="BH67" i="34"/>
  <c r="U62" i="19" s="1"/>
  <c r="R62" i="19"/>
  <c r="FB67" i="34"/>
  <c r="FD67" i="34" s="1"/>
  <c r="FK113" i="34"/>
  <c r="BF67" i="34"/>
  <c r="S62" i="19" s="1"/>
  <c r="O63" i="19"/>
  <c r="FK99" i="34"/>
  <c r="AG12" i="34"/>
  <c r="AE114" i="34"/>
  <c r="O94" i="19"/>
  <c r="FB76" i="34"/>
  <c r="FD76" i="34" s="1"/>
  <c r="FK76" i="34" s="1"/>
  <c r="EZ67" i="34"/>
  <c r="M62" i="19"/>
  <c r="FB73" i="34"/>
  <c r="FD73" i="34" s="1"/>
  <c r="FK73" i="34" s="1"/>
  <c r="FB89" i="34"/>
  <c r="FD89" i="34" s="1"/>
  <c r="FK89" i="34" s="1"/>
  <c r="BC67" i="34"/>
  <c r="Q62" i="19" s="1"/>
  <c r="AC62" i="19" s="1"/>
  <c r="BF100" i="34"/>
  <c r="S95" i="19" s="1"/>
  <c r="BH100" i="34"/>
  <c r="U95" i="19" s="1"/>
  <c r="FK59" i="34"/>
  <c r="O54" i="19"/>
  <c r="R95" i="19"/>
  <c r="BC100" i="34"/>
  <c r="Q95" i="19" s="1"/>
  <c r="AC95" i="19" s="1"/>
  <c r="FB95" i="34"/>
  <c r="FD95" i="34" s="1"/>
  <c r="FK95" i="34" s="1"/>
  <c r="BA25" i="34"/>
  <c r="EZ25" i="34"/>
  <c r="M20" i="19"/>
  <c r="BH22" i="34"/>
  <c r="U17" i="19" s="1"/>
  <c r="BF22" i="34"/>
  <c r="S17" i="19" s="1"/>
  <c r="R17" i="19"/>
  <c r="BG22" i="34"/>
  <c r="T17" i="19" s="1"/>
  <c r="BG25" i="34"/>
  <c r="T20" i="19" s="1"/>
  <c r="R20" i="19"/>
  <c r="BH25" i="34"/>
  <c r="U20" i="19" s="1"/>
  <c r="BF25" i="34"/>
  <c r="S20" i="19" s="1"/>
  <c r="BA100" i="34"/>
  <c r="O95" i="19" s="1"/>
  <c r="FH25" i="34"/>
  <c r="FG25" i="34"/>
  <c r="FI25" i="34"/>
  <c r="EZ22" i="34"/>
  <c r="BA22" i="34"/>
  <c r="M17" i="19"/>
  <c r="FI26" i="34"/>
  <c r="FH26" i="34"/>
  <c r="FG26" i="34"/>
  <c r="EZ100" i="34"/>
  <c r="AC114" i="34"/>
  <c r="FH22" i="34"/>
  <c r="FG22" i="34"/>
  <c r="FI22" i="34"/>
  <c r="BG26" i="34"/>
  <c r="T21" i="19" s="1"/>
  <c r="BH26" i="34"/>
  <c r="U21" i="19" s="1"/>
  <c r="BF26" i="34"/>
  <c r="S21" i="19" s="1"/>
  <c r="R21" i="19"/>
  <c r="BH31" i="34"/>
  <c r="U26" i="19" s="1"/>
  <c r="BF31" i="34"/>
  <c r="S26" i="19" s="1"/>
  <c r="BG31" i="34"/>
  <c r="T26" i="19" s="1"/>
  <c r="R26" i="19"/>
  <c r="EZ26" i="34"/>
  <c r="M21" i="19"/>
  <c r="BA26" i="34"/>
  <c r="O35" i="19"/>
  <c r="FB40" i="34"/>
  <c r="FD40" i="34" s="1"/>
  <c r="FK40" i="34" s="1"/>
  <c r="EX112" i="34"/>
  <c r="FF112" i="34" s="1"/>
  <c r="BE112" i="34"/>
  <c r="K107" i="19"/>
  <c r="Z107" i="19" s="1"/>
  <c r="AY112" i="34"/>
  <c r="EX104" i="34"/>
  <c r="FF104" i="34" s="1"/>
  <c r="AY104" i="34"/>
  <c r="K99" i="19"/>
  <c r="Z99" i="19" s="1"/>
  <c r="BE104" i="34"/>
  <c r="BG14" i="34"/>
  <c r="T9" i="19" s="1"/>
  <c r="BF14" i="34"/>
  <c r="S9" i="19" s="1"/>
  <c r="R9" i="19"/>
  <c r="BH14" i="34"/>
  <c r="U9" i="19" s="1"/>
  <c r="AA114" i="34"/>
  <c r="BA14" i="34"/>
  <c r="M9" i="19"/>
  <c r="EZ14" i="34"/>
  <c r="EZ82" i="34"/>
  <c r="M77" i="19"/>
  <c r="BC82" i="34"/>
  <c r="Q77" i="19" s="1"/>
  <c r="AC77" i="19" s="1"/>
  <c r="BA82" i="34"/>
  <c r="EZ58" i="34"/>
  <c r="BC58" i="34"/>
  <c r="Q53" i="19" s="1"/>
  <c r="AC53" i="19" s="1"/>
  <c r="BA58" i="34"/>
  <c r="M53" i="19"/>
  <c r="BG71" i="34"/>
  <c r="T66" i="19" s="1"/>
  <c r="BH71" i="34"/>
  <c r="U66" i="19" s="1"/>
  <c r="R66" i="19"/>
  <c r="BF71" i="34"/>
  <c r="S66" i="19" s="1"/>
  <c r="BH82" i="34"/>
  <c r="U77" i="19" s="1"/>
  <c r="R77" i="19"/>
  <c r="BG82" i="34"/>
  <c r="T77" i="19" s="1"/>
  <c r="BF82" i="34"/>
  <c r="S77" i="19" s="1"/>
  <c r="FG14" i="34"/>
  <c r="FH14" i="34"/>
  <c r="FI14" i="34"/>
  <c r="BH58" i="34"/>
  <c r="U53" i="19" s="1"/>
  <c r="BF58" i="34"/>
  <c r="S53" i="19" s="1"/>
  <c r="R53" i="19"/>
  <c r="BG58" i="34"/>
  <c r="T53" i="19" s="1"/>
  <c r="M66" i="19"/>
  <c r="BC71" i="34"/>
  <c r="Q66" i="19" s="1"/>
  <c r="AC66" i="19" s="1"/>
  <c r="EZ71" i="34"/>
  <c r="BA71" i="34"/>
  <c r="EX98" i="34"/>
  <c r="FF98" i="34" s="1"/>
  <c r="AY98" i="34"/>
  <c r="BE98" i="34"/>
  <c r="K93" i="19"/>
  <c r="Z93" i="19" s="1"/>
  <c r="O15" i="19"/>
  <c r="FB20" i="34"/>
  <c r="FD20" i="34" s="1"/>
  <c r="FG82" i="34"/>
  <c r="FI82" i="34"/>
  <c r="FH82" i="34"/>
  <c r="FH58" i="34"/>
  <c r="FI58" i="34"/>
  <c r="FG58" i="34"/>
  <c r="FI71" i="34"/>
  <c r="FH71" i="34"/>
  <c r="FG71" i="34"/>
  <c r="FB88" i="34"/>
  <c r="FD88" i="34" s="1"/>
  <c r="FK88" i="34" s="1"/>
  <c r="O83" i="19"/>
  <c r="FB38" i="34"/>
  <c r="FD38" i="34" s="1"/>
  <c r="FK38" i="34" s="1"/>
  <c r="FB65" i="34"/>
  <c r="FD65" i="34" s="1"/>
  <c r="FK65" i="34" s="1"/>
  <c r="O60" i="19"/>
  <c r="FB86" i="34"/>
  <c r="FD86" i="34" s="1"/>
  <c r="FK86" i="34" s="1"/>
  <c r="O81" i="19"/>
  <c r="O34" i="19"/>
  <c r="FB39" i="34"/>
  <c r="FD39" i="34" s="1"/>
  <c r="FK39" i="34" s="1"/>
  <c r="O41" i="19"/>
  <c r="FB46" i="34"/>
  <c r="FD46" i="34" s="1"/>
  <c r="FK46" i="34" s="1"/>
  <c r="O72" i="19"/>
  <c r="FB77" i="34"/>
  <c r="FD77" i="34" s="1"/>
  <c r="FK77" i="34" s="1"/>
  <c r="EZ54" i="34"/>
  <c r="BA54" i="34"/>
  <c r="M49" i="19"/>
  <c r="BC54" i="34"/>
  <c r="Q49" i="19" s="1"/>
  <c r="AC49" i="19" s="1"/>
  <c r="R49" i="19"/>
  <c r="BF54" i="34"/>
  <c r="S49" i="19" s="1"/>
  <c r="BG54" i="34"/>
  <c r="T49" i="19" s="1"/>
  <c r="BH54" i="34"/>
  <c r="U49" i="19" s="1"/>
  <c r="FG54" i="34"/>
  <c r="FI54" i="34"/>
  <c r="FH54" i="34"/>
  <c r="FK101" i="34"/>
  <c r="FB109" i="34"/>
  <c r="FD109" i="34" s="1"/>
  <c r="FK109" i="34" s="1"/>
  <c r="O104" i="19"/>
  <c r="O48" i="19"/>
  <c r="FB53" i="34"/>
  <c r="FD53" i="34" s="1"/>
  <c r="FK53" i="34" s="1"/>
  <c r="O82" i="19"/>
  <c r="FB87" i="34"/>
  <c r="FD87" i="34" s="1"/>
  <c r="FK87" i="34" s="1"/>
  <c r="O8" i="19"/>
  <c r="FB13" i="34"/>
  <c r="FD13" i="34" s="1"/>
  <c r="O92" i="19"/>
  <c r="FB97" i="34"/>
  <c r="FD97" i="34" s="1"/>
  <c r="FK97" i="34" s="1"/>
  <c r="K9" i="20"/>
  <c r="K10" i="20"/>
  <c r="B11" i="10"/>
  <c r="K11" i="10" s="1"/>
  <c r="B8" i="10"/>
  <c r="K8" i="10" s="1"/>
  <c r="P28" i="22"/>
  <c r="K27" i="22"/>
  <c r="K26" i="22"/>
  <c r="K25" i="22"/>
  <c r="K24" i="22"/>
  <c r="K20" i="22"/>
  <c r="K19" i="22"/>
  <c r="K18" i="22"/>
  <c r="K17" i="22"/>
  <c r="K16" i="22"/>
  <c r="K15" i="22"/>
  <c r="K14" i="22"/>
  <c r="K12" i="22"/>
  <c r="K11" i="22"/>
  <c r="K13" i="22"/>
  <c r="K10" i="22"/>
  <c r="K9" i="22"/>
  <c r="K7" i="22"/>
  <c r="K8" i="22"/>
  <c r="BE42" i="34" l="1"/>
  <c r="EX74" i="34"/>
  <c r="FF74" i="34" s="1"/>
  <c r="K69" i="19"/>
  <c r="Z69" i="19" s="1"/>
  <c r="BE74" i="34"/>
  <c r="AY74" i="34"/>
  <c r="K37" i="19"/>
  <c r="Z37" i="19" s="1"/>
  <c r="AY42" i="34"/>
  <c r="BG103" i="34"/>
  <c r="T98" i="19" s="1"/>
  <c r="FB83" i="34"/>
  <c r="FD83" i="34" s="1"/>
  <c r="FK83" i="34" s="1"/>
  <c r="O78" i="19"/>
  <c r="FG105" i="34"/>
  <c r="FB43" i="34"/>
  <c r="FD43" i="34" s="1"/>
  <c r="FK43" i="34" s="1"/>
  <c r="O42" i="19"/>
  <c r="FI103" i="34"/>
  <c r="FI105" i="34"/>
  <c r="FK47" i="34"/>
  <c r="K43" i="19"/>
  <c r="Z43" i="19" s="1"/>
  <c r="AY105" i="34"/>
  <c r="BA105" i="34" s="1"/>
  <c r="FH48" i="34"/>
  <c r="AY48" i="34"/>
  <c r="BA48" i="34" s="1"/>
  <c r="FB48" i="34" s="1"/>
  <c r="FD48" i="34" s="1"/>
  <c r="BE105" i="34"/>
  <c r="BG105" i="34" s="1"/>
  <c r="T100" i="19" s="1"/>
  <c r="FG48" i="34"/>
  <c r="K100" i="19"/>
  <c r="Z100" i="19" s="1"/>
  <c r="BE48" i="34"/>
  <c r="BF48" i="34" s="1"/>
  <c r="S43" i="19" s="1"/>
  <c r="FG31" i="34"/>
  <c r="FH103" i="34"/>
  <c r="M26" i="19"/>
  <c r="FH66" i="34"/>
  <c r="BA31" i="34"/>
  <c r="O98" i="19"/>
  <c r="AY96" i="34"/>
  <c r="M91" i="19" s="1"/>
  <c r="FH96" i="34"/>
  <c r="FI96" i="34"/>
  <c r="FH31" i="34"/>
  <c r="BF103" i="34"/>
  <c r="S98" i="19" s="1"/>
  <c r="BE72" i="34"/>
  <c r="R67" i="19" s="1"/>
  <c r="AW16" i="34"/>
  <c r="AY16" i="34" s="1"/>
  <c r="EZ16" i="34" s="1"/>
  <c r="AY66" i="34"/>
  <c r="EZ66" i="34" s="1"/>
  <c r="K61" i="19"/>
  <c r="Z61" i="19" s="1"/>
  <c r="K91" i="19"/>
  <c r="Z91" i="19" s="1"/>
  <c r="BE66" i="34"/>
  <c r="BG66" i="34" s="1"/>
  <c r="T61" i="19" s="1"/>
  <c r="K67" i="19"/>
  <c r="Z67" i="19" s="1"/>
  <c r="AY72" i="34"/>
  <c r="BA72" i="34" s="1"/>
  <c r="BE96" i="34"/>
  <c r="FG66" i="34"/>
  <c r="R98" i="19"/>
  <c r="EZ33" i="34"/>
  <c r="BA33" i="34"/>
  <c r="M28" i="19"/>
  <c r="BE51" i="34"/>
  <c r="BG51" i="34" s="1"/>
  <c r="T46" i="19" s="1"/>
  <c r="AW56" i="34"/>
  <c r="K30" i="19"/>
  <c r="Z30" i="19" s="1"/>
  <c r="BE35" i="34"/>
  <c r="EX35" i="34"/>
  <c r="FF35" i="34" s="1"/>
  <c r="R28" i="19"/>
  <c r="BH33" i="34"/>
  <c r="U28" i="19" s="1"/>
  <c r="BF33" i="34"/>
  <c r="S28" i="19" s="1"/>
  <c r="BG33" i="34"/>
  <c r="T28" i="19" s="1"/>
  <c r="K46" i="19"/>
  <c r="Z46" i="19" s="1"/>
  <c r="AY35" i="34"/>
  <c r="BA35" i="34" s="1"/>
  <c r="J85" i="19"/>
  <c r="X85" i="19" s="1"/>
  <c r="AW90" i="34"/>
  <c r="FK103" i="34"/>
  <c r="FG51" i="34"/>
  <c r="FH51" i="34"/>
  <c r="EX108" i="34"/>
  <c r="FF108" i="34" s="1"/>
  <c r="BE108" i="34"/>
  <c r="AY108" i="34"/>
  <c r="K103" i="19"/>
  <c r="Z103" i="19" s="1"/>
  <c r="FH33" i="34"/>
  <c r="FG33" i="34"/>
  <c r="FI33" i="34"/>
  <c r="EX70" i="34"/>
  <c r="FF70" i="34" s="1"/>
  <c r="BE70" i="34"/>
  <c r="AY70" i="34"/>
  <c r="K65" i="19"/>
  <c r="Z65" i="19" s="1"/>
  <c r="AY51" i="34"/>
  <c r="EZ105" i="34"/>
  <c r="M100" i="19"/>
  <c r="K76" i="19"/>
  <c r="Z76" i="19" s="1"/>
  <c r="EX81" i="34"/>
  <c r="FF81" i="34" s="1"/>
  <c r="AY81" i="34"/>
  <c r="BE81" i="34"/>
  <c r="AW80" i="34"/>
  <c r="BC48" i="34"/>
  <c r="Q43" i="19" s="1"/>
  <c r="AC43" i="19" s="1"/>
  <c r="M43" i="19"/>
  <c r="AI12" i="34"/>
  <c r="AG114" i="34"/>
  <c r="FK67" i="34"/>
  <c r="FB100" i="34"/>
  <c r="FD100" i="34" s="1"/>
  <c r="FK100" i="34" s="1"/>
  <c r="FI72" i="34"/>
  <c r="FG72" i="34"/>
  <c r="FH72" i="34"/>
  <c r="O17" i="19"/>
  <c r="FB22" i="34"/>
  <c r="FD22" i="34" s="1"/>
  <c r="FB26" i="34"/>
  <c r="FD26" i="34" s="1"/>
  <c r="O21" i="19"/>
  <c r="FB31" i="34"/>
  <c r="FD31" i="34" s="1"/>
  <c r="O26" i="19"/>
  <c r="FB25" i="34"/>
  <c r="FD25" i="34" s="1"/>
  <c r="O20" i="19"/>
  <c r="FG112" i="34"/>
  <c r="FI112" i="34"/>
  <c r="FH112" i="34"/>
  <c r="M107" i="19"/>
  <c r="EZ112" i="34"/>
  <c r="BA112" i="34"/>
  <c r="BC112" i="34"/>
  <c r="Q107" i="19" s="1"/>
  <c r="AC107" i="19" s="1"/>
  <c r="BH112" i="34"/>
  <c r="U107" i="19" s="1"/>
  <c r="BG112" i="34"/>
  <c r="T107" i="19" s="1"/>
  <c r="R107" i="19"/>
  <c r="BF112" i="34"/>
  <c r="S107" i="19" s="1"/>
  <c r="BG42" i="34"/>
  <c r="T37" i="19" s="1"/>
  <c r="BH42" i="34"/>
  <c r="U37" i="19" s="1"/>
  <c r="R37" i="19"/>
  <c r="BF42" i="34"/>
  <c r="S37" i="19" s="1"/>
  <c r="BF98" i="34"/>
  <c r="S93" i="19" s="1"/>
  <c r="BH98" i="34"/>
  <c r="U93" i="19" s="1"/>
  <c r="BG98" i="34"/>
  <c r="T93" i="19" s="1"/>
  <c r="R93" i="19"/>
  <c r="M93" i="19"/>
  <c r="EZ98" i="34"/>
  <c r="BA98" i="34"/>
  <c r="BC98" i="34"/>
  <c r="Q93" i="19" s="1"/>
  <c r="AC93" i="19" s="1"/>
  <c r="O53" i="19"/>
  <c r="FB58" i="34"/>
  <c r="FD58" i="34" s="1"/>
  <c r="FK58" i="34" s="1"/>
  <c r="BH104" i="34"/>
  <c r="U99" i="19" s="1"/>
  <c r="BF104" i="34"/>
  <c r="S99" i="19" s="1"/>
  <c r="BG104" i="34"/>
  <c r="T99" i="19" s="1"/>
  <c r="R99" i="19"/>
  <c r="BA42" i="34"/>
  <c r="BC42" i="34"/>
  <c r="Q37" i="19" s="1"/>
  <c r="AC37" i="19" s="1"/>
  <c r="M37" i="19"/>
  <c r="EZ42" i="34"/>
  <c r="FI98" i="34"/>
  <c r="FG98" i="34"/>
  <c r="FH98" i="34"/>
  <c r="O9" i="19"/>
  <c r="FB14" i="34"/>
  <c r="FD14" i="34" s="1"/>
  <c r="FG42" i="34"/>
  <c r="FI42" i="34"/>
  <c r="FH42" i="34"/>
  <c r="FB71" i="34"/>
  <c r="FD71" i="34" s="1"/>
  <c r="FK71" i="34" s="1"/>
  <c r="O66" i="19"/>
  <c r="BC104" i="34"/>
  <c r="Q99" i="19" s="1"/>
  <c r="AC99" i="19" s="1"/>
  <c r="BA104" i="34"/>
  <c r="M99" i="19"/>
  <c r="EZ104" i="34"/>
  <c r="O77" i="19"/>
  <c r="FB82" i="34"/>
  <c r="FD82" i="34" s="1"/>
  <c r="FK82" i="34" s="1"/>
  <c r="FI104" i="34"/>
  <c r="FG104" i="34"/>
  <c r="FH104" i="34"/>
  <c r="O49" i="19"/>
  <c r="FB54" i="34"/>
  <c r="FD54" i="34" s="1"/>
  <c r="FK54" i="34" s="1"/>
  <c r="L7" i="22"/>
  <c r="N7" i="22" s="1"/>
  <c r="Q7" i="22"/>
  <c r="A7" i="19"/>
  <c r="BA74" i="34" l="1"/>
  <c r="M69" i="19"/>
  <c r="EZ74" i="34"/>
  <c r="BC74" i="34"/>
  <c r="Q69" i="19" s="1"/>
  <c r="AC69" i="19" s="1"/>
  <c r="R43" i="19"/>
  <c r="R69" i="19"/>
  <c r="BG74" i="34"/>
  <c r="T69" i="19" s="1"/>
  <c r="BH74" i="34"/>
  <c r="U69" i="19" s="1"/>
  <c r="BF74" i="34"/>
  <c r="S69" i="19" s="1"/>
  <c r="FG74" i="34"/>
  <c r="FI74" i="34"/>
  <c r="FH74" i="34"/>
  <c r="BH105" i="34"/>
  <c r="U100" i="19" s="1"/>
  <c r="EZ48" i="34"/>
  <c r="R100" i="19"/>
  <c r="BC105" i="34"/>
  <c r="Q100" i="19" s="1"/>
  <c r="AC100" i="19" s="1"/>
  <c r="O43" i="19"/>
  <c r="BF105" i="34"/>
  <c r="S100" i="19" s="1"/>
  <c r="BG48" i="34"/>
  <c r="T43" i="19" s="1"/>
  <c r="BH48" i="34"/>
  <c r="U43" i="19" s="1"/>
  <c r="BG72" i="34"/>
  <c r="T67" i="19" s="1"/>
  <c r="BH72" i="34"/>
  <c r="U67" i="19" s="1"/>
  <c r="BH51" i="34"/>
  <c r="U46" i="19" s="1"/>
  <c r="BF51" i="34"/>
  <c r="S46" i="19" s="1"/>
  <c r="BC66" i="34"/>
  <c r="Q61" i="19" s="1"/>
  <c r="AC61" i="19" s="1"/>
  <c r="BA96" i="34"/>
  <c r="O91" i="19" s="1"/>
  <c r="BC96" i="34"/>
  <c r="Q91" i="19" s="1"/>
  <c r="AC91" i="19" s="1"/>
  <c r="M67" i="19"/>
  <c r="EZ96" i="34"/>
  <c r="EZ72" i="34"/>
  <c r="FK48" i="34"/>
  <c r="R46" i="19"/>
  <c r="BC72" i="34"/>
  <c r="Q67" i="19" s="1"/>
  <c r="AC67" i="19" s="1"/>
  <c r="BF72" i="34"/>
  <c r="S67" i="19" s="1"/>
  <c r="BF66" i="34"/>
  <c r="S61" i="19" s="1"/>
  <c r="BA16" i="34"/>
  <c r="O11" i="19" s="1"/>
  <c r="M61" i="19"/>
  <c r="R61" i="19"/>
  <c r="EX16" i="34"/>
  <c r="FF16" i="34" s="1"/>
  <c r="K11" i="19"/>
  <c r="Z11" i="19" s="1"/>
  <c r="M11" i="19"/>
  <c r="BE16" i="34"/>
  <c r="R11" i="19" s="1"/>
  <c r="BA66" i="34"/>
  <c r="BH66" i="34"/>
  <c r="U61" i="19" s="1"/>
  <c r="O30" i="19"/>
  <c r="FB35" i="34"/>
  <c r="FD35" i="34" s="1"/>
  <c r="BG96" i="34"/>
  <c r="T91" i="19" s="1"/>
  <c r="R91" i="19"/>
  <c r="BF96" i="34"/>
  <c r="S91" i="19" s="1"/>
  <c r="BH96" i="34"/>
  <c r="U91" i="19" s="1"/>
  <c r="M46" i="19"/>
  <c r="BA51" i="34"/>
  <c r="BC51" i="34"/>
  <c r="Q46" i="19" s="1"/>
  <c r="AC46" i="19" s="1"/>
  <c r="EZ51" i="34"/>
  <c r="BC70" i="34"/>
  <c r="Q65" i="19" s="1"/>
  <c r="AC65" i="19" s="1"/>
  <c r="EZ70" i="34"/>
  <c r="BA70" i="34"/>
  <c r="M65" i="19"/>
  <c r="BG35" i="34"/>
  <c r="T30" i="19" s="1"/>
  <c r="BF35" i="34"/>
  <c r="S30" i="19" s="1"/>
  <c r="BH35" i="34"/>
  <c r="U30" i="19" s="1"/>
  <c r="R30" i="19"/>
  <c r="FH35" i="34"/>
  <c r="FG35" i="34"/>
  <c r="FI35" i="34"/>
  <c r="BF70" i="34"/>
  <c r="S65" i="19" s="1"/>
  <c r="BG70" i="34"/>
  <c r="T65" i="19" s="1"/>
  <c r="R65" i="19"/>
  <c r="BH70" i="34"/>
  <c r="U65" i="19" s="1"/>
  <c r="BF81" i="34"/>
  <c r="S76" i="19" s="1"/>
  <c r="BH81" i="34"/>
  <c r="U76" i="19" s="1"/>
  <c r="BG81" i="34"/>
  <c r="T76" i="19" s="1"/>
  <c r="R76" i="19"/>
  <c r="FH70" i="34"/>
  <c r="FG70" i="34"/>
  <c r="FI70" i="34"/>
  <c r="K51" i="19"/>
  <c r="Z51" i="19" s="1"/>
  <c r="AY56" i="34"/>
  <c r="BE56" i="34"/>
  <c r="EX56" i="34"/>
  <c r="FF56" i="34" s="1"/>
  <c r="EX90" i="34"/>
  <c r="FF90" i="34" s="1"/>
  <c r="K85" i="19"/>
  <c r="Z85" i="19" s="1"/>
  <c r="BE90" i="34"/>
  <c r="AY90" i="34"/>
  <c r="EZ81" i="34"/>
  <c r="M76" i="19"/>
  <c r="BA81" i="34"/>
  <c r="BC81" i="34"/>
  <c r="Q76" i="19" s="1"/>
  <c r="AC76" i="19" s="1"/>
  <c r="BC108" i="34"/>
  <c r="Q103" i="19" s="1"/>
  <c r="AC103" i="19" s="1"/>
  <c r="EZ108" i="34"/>
  <c r="M103" i="19"/>
  <c r="BA108" i="34"/>
  <c r="EX80" i="34"/>
  <c r="FF80" i="34" s="1"/>
  <c r="K75" i="19"/>
  <c r="Z75" i="19" s="1"/>
  <c r="AY80" i="34"/>
  <c r="BE80" i="34"/>
  <c r="FI81" i="34"/>
  <c r="FG81" i="34"/>
  <c r="FH81" i="34"/>
  <c r="O100" i="19"/>
  <c r="FB105" i="34"/>
  <c r="FD105" i="34" s="1"/>
  <c r="FK105" i="34" s="1"/>
  <c r="M30" i="19"/>
  <c r="EZ35" i="34"/>
  <c r="FB33" i="34"/>
  <c r="FD33" i="34" s="1"/>
  <c r="O28" i="19"/>
  <c r="BG108" i="34"/>
  <c r="T103" i="19" s="1"/>
  <c r="R103" i="19"/>
  <c r="BH108" i="34"/>
  <c r="U103" i="19" s="1"/>
  <c r="BF108" i="34"/>
  <c r="S103" i="19" s="1"/>
  <c r="FH108" i="34"/>
  <c r="FG108" i="34"/>
  <c r="FI108" i="34"/>
  <c r="AK12" i="34"/>
  <c r="AI114" i="34"/>
  <c r="FB72" i="34"/>
  <c r="FD72" i="34" s="1"/>
  <c r="O67" i="19"/>
  <c r="O107" i="19"/>
  <c r="FB112" i="34"/>
  <c r="FD112" i="34" s="1"/>
  <c r="FK112" i="34" s="1"/>
  <c r="FB104" i="34"/>
  <c r="FD104" i="34" s="1"/>
  <c r="FK104" i="34" s="1"/>
  <c r="O99" i="19"/>
  <c r="O37" i="19"/>
  <c r="FB42" i="34"/>
  <c r="FD42" i="34" s="1"/>
  <c r="FK42" i="34" s="1"/>
  <c r="FB98" i="34"/>
  <c r="FD98" i="34" s="1"/>
  <c r="FK98" i="34" s="1"/>
  <c r="O93" i="19"/>
  <c r="I14" i="4"/>
  <c r="I16" i="4"/>
  <c r="I17" i="4"/>
  <c r="R7" i="22"/>
  <c r="T7" i="22"/>
  <c r="S7" i="22"/>
  <c r="X7" i="22"/>
  <c r="P7" i="22"/>
  <c r="FB74" i="34" l="1"/>
  <c r="FD74" i="34" s="1"/>
  <c r="FK74" i="34" s="1"/>
  <c r="O69" i="19"/>
  <c r="FB96" i="34"/>
  <c r="FD96" i="34" s="1"/>
  <c r="FK96" i="34" s="1"/>
  <c r="FB16" i="34"/>
  <c r="FD16" i="34" s="1"/>
  <c r="FK72" i="34"/>
  <c r="O61" i="19"/>
  <c r="FB66" i="34"/>
  <c r="FD66" i="34" s="1"/>
  <c r="FK66" i="34" s="1"/>
  <c r="BF16" i="34"/>
  <c r="S11" i="19" s="1"/>
  <c r="BH16" i="34"/>
  <c r="U11" i="19" s="1"/>
  <c r="FI16" i="34"/>
  <c r="FG16" i="34"/>
  <c r="FH16" i="34"/>
  <c r="BG16" i="34"/>
  <c r="T11" i="19" s="1"/>
  <c r="FH90" i="34"/>
  <c r="FG90" i="34"/>
  <c r="FI90" i="34"/>
  <c r="R75" i="19"/>
  <c r="BF80" i="34"/>
  <c r="S75" i="19" s="1"/>
  <c r="BG80" i="34"/>
  <c r="T75" i="19" s="1"/>
  <c r="BH80" i="34"/>
  <c r="U75" i="19" s="1"/>
  <c r="FH80" i="34"/>
  <c r="FI80" i="34"/>
  <c r="FG80" i="34"/>
  <c r="M85" i="19"/>
  <c r="EZ90" i="34"/>
  <c r="BA90" i="34"/>
  <c r="BC90" i="34"/>
  <c r="Q85" i="19" s="1"/>
  <c r="AC85" i="19" s="1"/>
  <c r="EZ80" i="34"/>
  <c r="BC80" i="34"/>
  <c r="Q75" i="19" s="1"/>
  <c r="AC75" i="19" s="1"/>
  <c r="BA80" i="34"/>
  <c r="M75" i="19"/>
  <c r="BG90" i="34"/>
  <c r="T85" i="19" s="1"/>
  <c r="BH90" i="34"/>
  <c r="U85" i="19" s="1"/>
  <c r="BF90" i="34"/>
  <c r="S85" i="19" s="1"/>
  <c r="R85" i="19"/>
  <c r="FH56" i="34"/>
  <c r="FG56" i="34"/>
  <c r="FI56" i="34"/>
  <c r="O76" i="19"/>
  <c r="FB81" i="34"/>
  <c r="FD81" i="34" s="1"/>
  <c r="FK81" i="34" s="1"/>
  <c r="O46" i="19"/>
  <c r="FB51" i="34"/>
  <c r="FD51" i="34" s="1"/>
  <c r="FK51" i="34" s="1"/>
  <c r="FB108" i="34"/>
  <c r="FD108" i="34" s="1"/>
  <c r="FK108" i="34" s="1"/>
  <c r="O103" i="19"/>
  <c r="O65" i="19"/>
  <c r="FB70" i="34"/>
  <c r="FD70" i="34" s="1"/>
  <c r="FK70" i="34" s="1"/>
  <c r="BG56" i="34"/>
  <c r="T51" i="19" s="1"/>
  <c r="R51" i="19"/>
  <c r="BF56" i="34"/>
  <c r="S51" i="19" s="1"/>
  <c r="BH56" i="34"/>
  <c r="U51" i="19" s="1"/>
  <c r="BC56" i="34"/>
  <c r="Q51" i="19" s="1"/>
  <c r="AC51" i="19" s="1"/>
  <c r="BA56" i="34"/>
  <c r="M51" i="19"/>
  <c r="EZ56" i="34"/>
  <c r="AM12" i="34"/>
  <c r="AO12" i="34" s="1"/>
  <c r="AQ12" i="34" s="1"/>
  <c r="AS12" i="34" s="1"/>
  <c r="AT12" i="34" s="1"/>
  <c r="AK114" i="34"/>
  <c r="E9" i="5"/>
  <c r="J21" i="31"/>
  <c r="J21" i="28"/>
  <c r="J21" i="30"/>
  <c r="J21" i="29"/>
  <c r="D21" i="26"/>
  <c r="J21" i="26" s="1"/>
  <c r="D21" i="13"/>
  <c r="J21" i="13" s="1"/>
  <c r="D21" i="25"/>
  <c r="J21" i="25" s="1"/>
  <c r="D21" i="27"/>
  <c r="J21" i="27" s="1"/>
  <c r="I22" i="4"/>
  <c r="I24" i="4"/>
  <c r="E22" i="5" s="1"/>
  <c r="X14" i="22"/>
  <c r="Z11" i="22"/>
  <c r="AA11" i="22" s="1"/>
  <c r="Z10" i="22"/>
  <c r="AA10" i="22" s="1"/>
  <c r="Z9" i="22"/>
  <c r="Q18" i="22"/>
  <c r="Q24" i="22"/>
  <c r="Q20" i="22"/>
  <c r="Q26" i="22"/>
  <c r="Q13" i="22"/>
  <c r="L12" i="22"/>
  <c r="L16" i="22"/>
  <c r="Q17" i="22"/>
  <c r="Q27" i="22"/>
  <c r="E8" i="5"/>
  <c r="L24" i="22"/>
  <c r="D37" i="7"/>
  <c r="D36" i="6"/>
  <c r="D36" i="5"/>
  <c r="FB80" i="34" l="1"/>
  <c r="FD80" i="34" s="1"/>
  <c r="FK80" i="34" s="1"/>
  <c r="O75" i="19"/>
  <c r="O51" i="19"/>
  <c r="FB56" i="34"/>
  <c r="FD56" i="34" s="1"/>
  <c r="FK56" i="34" s="1"/>
  <c r="O85" i="19"/>
  <c r="FB90" i="34"/>
  <c r="FD90" i="34" s="1"/>
  <c r="FK90" i="34" s="1"/>
  <c r="AM114" i="34"/>
  <c r="E9" i="24"/>
  <c r="N9" i="24" s="1"/>
  <c r="E9" i="32"/>
  <c r="E10" i="5"/>
  <c r="Z12" i="22"/>
  <c r="AA9" i="22"/>
  <c r="S13" i="22"/>
  <c r="T13" i="22"/>
  <c r="R13" i="22"/>
  <c r="R24" i="22"/>
  <c r="S24" i="22"/>
  <c r="T24" i="22"/>
  <c r="S17" i="22"/>
  <c r="T17" i="22"/>
  <c r="R17" i="22"/>
  <c r="R20" i="22"/>
  <c r="S20" i="22"/>
  <c r="T20" i="22"/>
  <c r="R27" i="22"/>
  <c r="S27" i="22"/>
  <c r="T27" i="22"/>
  <c r="T26" i="22"/>
  <c r="S26" i="22"/>
  <c r="R26" i="22"/>
  <c r="T18" i="22"/>
  <c r="S18" i="22"/>
  <c r="R18" i="22"/>
  <c r="Z17" i="22"/>
  <c r="AA17" i="22" s="1"/>
  <c r="Z18" i="22"/>
  <c r="AA18" i="22" s="1"/>
  <c r="Z16" i="22"/>
  <c r="L17" i="22"/>
  <c r="N17" i="22" s="1"/>
  <c r="L26" i="22"/>
  <c r="N26" i="22" s="1"/>
  <c r="L18" i="22"/>
  <c r="N18" i="22" s="1"/>
  <c r="E22" i="24"/>
  <c r="Q11" i="22"/>
  <c r="L9" i="22"/>
  <c r="N9" i="22" s="1"/>
  <c r="Q9" i="22"/>
  <c r="L11" i="22"/>
  <c r="Q16" i="22"/>
  <c r="Q25" i="22"/>
  <c r="Q10" i="22"/>
  <c r="L25" i="22"/>
  <c r="N25" i="22" s="1"/>
  <c r="L15" i="22"/>
  <c r="N15" i="22" s="1"/>
  <c r="Q15" i="22"/>
  <c r="L10" i="22"/>
  <c r="N10" i="22" s="1"/>
  <c r="Q8" i="22"/>
  <c r="Q12" i="22"/>
  <c r="L14" i="22"/>
  <c r="N14" i="22" s="1"/>
  <c r="Q14" i="22"/>
  <c r="Q19" i="22"/>
  <c r="D22" i="31"/>
  <c r="J22" i="31" s="1"/>
  <c r="D22" i="29"/>
  <c r="J22" i="29" s="1"/>
  <c r="D22" i="27"/>
  <c r="J22" i="27" s="1"/>
  <c r="D22" i="30"/>
  <c r="J22" i="30" s="1"/>
  <c r="D22" i="28"/>
  <c r="J22" i="28" s="1"/>
  <c r="D22" i="25"/>
  <c r="J22" i="25" s="1"/>
  <c r="D22" i="26"/>
  <c r="J22" i="26" s="1"/>
  <c r="D22" i="13"/>
  <c r="J22" i="13" s="1"/>
  <c r="L19" i="22"/>
  <c r="L8" i="22"/>
  <c r="N24" i="22"/>
  <c r="L20" i="22"/>
  <c r="N12" i="22"/>
  <c r="L27" i="22"/>
  <c r="L13" i="22"/>
  <c r="N16" i="22"/>
  <c r="N8" i="5"/>
  <c r="E11" i="5"/>
  <c r="P42" i="4"/>
  <c r="T42" i="4"/>
  <c r="AV12" i="34" l="1"/>
  <c r="AT114" i="34"/>
  <c r="H7" i="19"/>
  <c r="AU12" i="34"/>
  <c r="E8" i="24"/>
  <c r="N8" i="24" s="1"/>
  <c r="E8" i="32"/>
  <c r="N8" i="32" s="1"/>
  <c r="E8" i="33"/>
  <c r="O8" i="33" s="1"/>
  <c r="E11" i="32"/>
  <c r="N11" i="32" s="1"/>
  <c r="E11" i="33"/>
  <c r="O11" i="33" s="1"/>
  <c r="E10" i="32"/>
  <c r="N10" i="32" s="1"/>
  <c r="E10" i="33"/>
  <c r="O10" i="33" s="1"/>
  <c r="F23" i="5"/>
  <c r="F24" i="33" s="1"/>
  <c r="O15" i="33" s="1"/>
  <c r="T40" i="28"/>
  <c r="O40" i="28" s="1"/>
  <c r="T40" i="30"/>
  <c r="O40" i="30" s="1"/>
  <c r="T40" i="25"/>
  <c r="O40" i="25" s="1"/>
  <c r="T40" i="26"/>
  <c r="O40" i="26" s="1"/>
  <c r="T40" i="27"/>
  <c r="O40" i="27" s="1"/>
  <c r="F23" i="24"/>
  <c r="N15" i="24" s="1"/>
  <c r="T40" i="13"/>
  <c r="O40" i="13" s="1"/>
  <c r="T40" i="29"/>
  <c r="O40" i="29" s="1"/>
  <c r="T40" i="31"/>
  <c r="O40" i="31" s="1"/>
  <c r="E22" i="23"/>
  <c r="E32" i="23" s="1"/>
  <c r="E22" i="32"/>
  <c r="E31" i="32" s="1"/>
  <c r="R11" i="22"/>
  <c r="S11" i="22"/>
  <c r="T11" i="22"/>
  <c r="R19" i="22"/>
  <c r="S19" i="22"/>
  <c r="T19" i="22"/>
  <c r="R8" i="22"/>
  <c r="S8" i="22"/>
  <c r="T8" i="22"/>
  <c r="T10" i="22"/>
  <c r="R10" i="22"/>
  <c r="S10" i="22"/>
  <c r="T14" i="22"/>
  <c r="R14" i="22"/>
  <c r="S14" i="22"/>
  <c r="S25" i="22"/>
  <c r="T25" i="22"/>
  <c r="R25" i="22"/>
  <c r="S9" i="22"/>
  <c r="T9" i="22"/>
  <c r="R9" i="22"/>
  <c r="Z19" i="22"/>
  <c r="AA16" i="22"/>
  <c r="R12" i="22"/>
  <c r="S12" i="22"/>
  <c r="T12" i="22"/>
  <c r="R16" i="22"/>
  <c r="S16" i="22"/>
  <c r="T16" i="22"/>
  <c r="R15" i="22"/>
  <c r="T15" i="22"/>
  <c r="S15" i="22"/>
  <c r="J24" i="25"/>
  <c r="J24" i="26"/>
  <c r="J24" i="13"/>
  <c r="N19" i="22"/>
  <c r="P19" i="22" s="1"/>
  <c r="N11" i="22"/>
  <c r="P11" i="22" s="1"/>
  <c r="E29" i="24"/>
  <c r="K13" i="30"/>
  <c r="D25" i="30" s="1"/>
  <c r="J25" i="30" s="1"/>
  <c r="K13" i="28"/>
  <c r="D25" i="28" s="1"/>
  <c r="J25" i="28" s="1"/>
  <c r="K13" i="25"/>
  <c r="D25" i="25" s="1"/>
  <c r="J25" i="25" s="1"/>
  <c r="K13" i="26"/>
  <c r="D25" i="26" s="1"/>
  <c r="J25" i="26" s="1"/>
  <c r="K13" i="31"/>
  <c r="D25" i="31" s="1"/>
  <c r="J25" i="31" s="1"/>
  <c r="K13" i="29"/>
  <c r="D25" i="29" s="1"/>
  <c r="J25" i="29" s="1"/>
  <c r="K13" i="27"/>
  <c r="D25" i="27" s="1"/>
  <c r="J25" i="27" s="1"/>
  <c r="D24" i="30"/>
  <c r="D24" i="28"/>
  <c r="D24" i="25"/>
  <c r="D24" i="29"/>
  <c r="D24" i="27"/>
  <c r="N8" i="22"/>
  <c r="P8" i="22" s="1"/>
  <c r="P24" i="22"/>
  <c r="P9" i="22"/>
  <c r="P18" i="22"/>
  <c r="P26" i="22"/>
  <c r="N13" i="22"/>
  <c r="P14" i="22"/>
  <c r="N20" i="22"/>
  <c r="P12" i="22"/>
  <c r="P16" i="22"/>
  <c r="P10" i="22"/>
  <c r="P17" i="22"/>
  <c r="N27" i="22"/>
  <c r="P15" i="22"/>
  <c r="P25" i="22"/>
  <c r="C1" i="23"/>
  <c r="AW12" i="34" l="1"/>
  <c r="AY12" i="34" s="1"/>
  <c r="J7" i="19"/>
  <c r="X7" i="19" s="1"/>
  <c r="AU114" i="34"/>
  <c r="W7" i="19"/>
  <c r="F13" i="5"/>
  <c r="I7" i="19"/>
  <c r="Y7" i="19" s="1"/>
  <c r="AV114" i="34"/>
  <c r="E11" i="24"/>
  <c r="N11" i="24" s="1"/>
  <c r="F13" i="24"/>
  <c r="F18" i="24" s="1"/>
  <c r="E10" i="24"/>
  <c r="N10" i="24" s="1"/>
  <c r="P13" i="22"/>
  <c r="P27" i="22"/>
  <c r="P20" i="22"/>
  <c r="G59" i="23"/>
  <c r="G55" i="23"/>
  <c r="G57" i="23"/>
  <c r="G53" i="23"/>
  <c r="G51" i="23"/>
  <c r="G49" i="23"/>
  <c r="D59" i="23"/>
  <c r="D57" i="23"/>
  <c r="D55" i="23"/>
  <c r="D53" i="23"/>
  <c r="D51" i="23"/>
  <c r="D49" i="23"/>
  <c r="B59" i="23"/>
  <c r="B55" i="23"/>
  <c r="B57" i="23"/>
  <c r="B53" i="23"/>
  <c r="B51" i="23"/>
  <c r="B49" i="23"/>
  <c r="F29" i="23"/>
  <c r="F30" i="23"/>
  <c r="E29" i="23"/>
  <c r="E30" i="23"/>
  <c r="F28" i="23"/>
  <c r="E28" i="23"/>
  <c r="B29" i="23"/>
  <c r="B30" i="23"/>
  <c r="B28" i="23"/>
  <c r="BE12" i="34" l="1"/>
  <c r="BE114" i="34" s="1"/>
  <c r="EX12" i="34"/>
  <c r="FF12" i="34" s="1"/>
  <c r="FI12" i="34" s="1"/>
  <c r="K7" i="19"/>
  <c r="Z7" i="19" s="1"/>
  <c r="AW114" i="34"/>
  <c r="EZ12" i="34"/>
  <c r="AY114" i="34"/>
  <c r="M7" i="19"/>
  <c r="BA12" i="34"/>
  <c r="F13" i="33"/>
  <c r="F19" i="33" s="1"/>
  <c r="F18" i="5"/>
  <c r="F13" i="32"/>
  <c r="F18" i="32" s="1"/>
  <c r="F15" i="5"/>
  <c r="I27" i="26"/>
  <c r="W14" i="23"/>
  <c r="A248" i="24"/>
  <c r="F15" i="24"/>
  <c r="F17" i="24" s="1"/>
  <c r="F20" i="24" s="1"/>
  <c r="C1" i="24"/>
  <c r="Y17" i="24"/>
  <c r="D40" i="23"/>
  <c r="D39" i="23"/>
  <c r="D38" i="23"/>
  <c r="D37" i="23"/>
  <c r="N9" i="23"/>
  <c r="M15" i="23"/>
  <c r="R7" i="19" l="1"/>
  <c r="FH12" i="34"/>
  <c r="FG12" i="34"/>
  <c r="BH12" i="34"/>
  <c r="BH114" i="34" s="1"/>
  <c r="BG12" i="34"/>
  <c r="BG114" i="34" s="1"/>
  <c r="BF12" i="34"/>
  <c r="S7" i="19" s="1"/>
  <c r="F17" i="5"/>
  <c r="F20" i="5" s="1"/>
  <c r="F22" i="5" s="1"/>
  <c r="F24" i="5" s="1"/>
  <c r="U7" i="19"/>
  <c r="BU12" i="34"/>
  <c r="FB12" i="34"/>
  <c r="FD12" i="34" s="1"/>
  <c r="O7" i="19"/>
  <c r="BA114" i="34"/>
  <c r="F24" i="24"/>
  <c r="N70" i="24" s="1"/>
  <c r="F22" i="24"/>
  <c r="F29" i="24"/>
  <c r="L1" i="23"/>
  <c r="F31" i="23"/>
  <c r="V15" i="23"/>
  <c r="W15" i="23" s="1"/>
  <c r="Z18" i="23" s="1"/>
  <c r="M68" i="23" s="1"/>
  <c r="M67" i="23" s="1"/>
  <c r="BF114" i="34" l="1"/>
  <c r="T7" i="19"/>
  <c r="BW14" i="34"/>
  <c r="BW15" i="34"/>
  <c r="BX15" i="34" s="1"/>
  <c r="BW16" i="34"/>
  <c r="BX16" i="34" s="1"/>
  <c r="F17" i="32"/>
  <c r="F17" i="23"/>
  <c r="F25" i="24"/>
  <c r="E34" i="24"/>
  <c r="F34" i="24" s="1"/>
  <c r="E36" i="24"/>
  <c r="F36" i="24" s="1"/>
  <c r="E35" i="24"/>
  <c r="F35" i="24" s="1"/>
  <c r="E37" i="24"/>
  <c r="F37" i="24" s="1"/>
  <c r="N73" i="24"/>
  <c r="X19" i="23"/>
  <c r="Z19" i="23"/>
  <c r="BX14" i="34" l="1"/>
  <c r="BW17" i="34"/>
  <c r="V16" i="23"/>
  <c r="V17" i="23" s="1"/>
  <c r="V18" i="23" s="1"/>
  <c r="V19" i="23" s="1"/>
  <c r="V20" i="23" s="1"/>
  <c r="V21" i="23" s="1"/>
  <c r="V22" i="23" s="1"/>
  <c r="V23" i="23" s="1"/>
  <c r="V24" i="23" s="1"/>
  <c r="V25" i="23" s="1"/>
  <c r="V26" i="23" s="1"/>
  <c r="V27" i="23" s="1"/>
  <c r="V28" i="23" s="1"/>
  <c r="V29" i="23" s="1"/>
  <c r="V30" i="23" s="1"/>
  <c r="V31" i="23" s="1"/>
  <c r="V32" i="23" s="1"/>
  <c r="V33" i="23" s="1"/>
  <c r="V34" i="23" s="1"/>
  <c r="V35" i="23" s="1"/>
  <c r="V36" i="23" s="1"/>
  <c r="V37" i="23" s="1"/>
  <c r="V38" i="23" s="1"/>
  <c r="V39" i="23" s="1"/>
  <c r="V40" i="23" s="1"/>
  <c r="V41" i="23" s="1"/>
  <c r="V42" i="23" s="1"/>
  <c r="V43" i="23" s="1"/>
  <c r="V44" i="23" s="1"/>
  <c r="V45" i="23" s="1"/>
  <c r="V46" i="23" s="1"/>
  <c r="V47" i="23" s="1"/>
  <c r="V48" i="23" s="1"/>
  <c r="V49" i="23" s="1"/>
  <c r="V50" i="23" s="1"/>
  <c r="V51" i="23" s="1"/>
  <c r="V52" i="23" s="1"/>
  <c r="V53" i="23" s="1"/>
  <c r="V54" i="23" s="1"/>
  <c r="V55" i="23" s="1"/>
  <c r="V56" i="23" s="1"/>
  <c r="V57" i="23" s="1"/>
  <c r="V58" i="23" s="1"/>
  <c r="V59" i="23" s="1"/>
  <c r="V60" i="23" s="1"/>
  <c r="V61" i="23" s="1"/>
  <c r="V62" i="23" s="1"/>
  <c r="V63" i="23" s="1"/>
  <c r="V64" i="23" s="1"/>
  <c r="V65" i="23" s="1"/>
  <c r="V66" i="23" s="1"/>
  <c r="X18" i="23"/>
  <c r="I28" i="27" l="1"/>
  <c r="F14" i="32"/>
  <c r="F15" i="32" s="1"/>
  <c r="F20" i="32" s="1"/>
  <c r="F22" i="32" s="1"/>
  <c r="A126" i="32" l="1"/>
  <c r="F14" i="23"/>
  <c r="I28" i="26"/>
  <c r="G55" i="5"/>
  <c r="I28" i="25" l="1"/>
  <c r="I28" i="31" l="1"/>
  <c r="I28" i="30"/>
  <c r="I28" i="13"/>
  <c r="G53" i="5"/>
  <c r="G51" i="5"/>
  <c r="G49" i="5"/>
  <c r="D55" i="5"/>
  <c r="D56" i="6" s="1"/>
  <c r="D57" i="7" s="1"/>
  <c r="D43" i="8" s="1"/>
  <c r="D42" i="33" s="1"/>
  <c r="D53" i="5"/>
  <c r="D54" i="6" s="1"/>
  <c r="D55" i="7" s="1"/>
  <c r="D41" i="8" s="1"/>
  <c r="D40" i="33" s="1"/>
  <c r="D51" i="5"/>
  <c r="D52" i="6" s="1"/>
  <c r="D53" i="7" s="1"/>
  <c r="D39" i="8" s="1"/>
  <c r="D38" i="33" s="1"/>
  <c r="D49" i="5"/>
  <c r="D50" i="6" s="1"/>
  <c r="D51" i="7" s="1"/>
  <c r="D37" i="8" s="1"/>
  <c r="D36" i="33" s="1"/>
  <c r="G47" i="5"/>
  <c r="D47" i="5"/>
  <c r="D48" i="6" s="1"/>
  <c r="D49" i="7" s="1"/>
  <c r="D35" i="8" s="1"/>
  <c r="D34" i="33" s="1"/>
  <c r="B55" i="5"/>
  <c r="B56" i="6" s="1"/>
  <c r="B57" i="7" s="1"/>
  <c r="B43" i="8" s="1"/>
  <c r="B53" i="5"/>
  <c r="B54" i="6" s="1"/>
  <c r="B55" i="7" s="1"/>
  <c r="B41" i="8" s="1"/>
  <c r="B51" i="5"/>
  <c r="B52" i="6" s="1"/>
  <c r="B53" i="7" s="1"/>
  <c r="B39" i="8" s="1"/>
  <c r="B49" i="5"/>
  <c r="B50" i="6" s="1"/>
  <c r="B51" i="7" s="1"/>
  <c r="B37" i="8" s="1"/>
  <c r="B47" i="5"/>
  <c r="B48" i="6" s="1"/>
  <c r="B49" i="7" s="1"/>
  <c r="B35" i="8" s="1"/>
  <c r="G45" i="5"/>
  <c r="D45" i="5"/>
  <c r="D46" i="6" s="1"/>
  <c r="D47" i="7" s="1"/>
  <c r="D33" i="8" s="1"/>
  <c r="D32" i="33" s="1"/>
  <c r="B45" i="5"/>
  <c r="B46" i="6" s="1"/>
  <c r="B47" i="7" s="1"/>
  <c r="B33" i="8" s="1"/>
  <c r="B38" i="9" l="1"/>
  <c r="B41" i="20" s="1"/>
  <c r="B38" i="33"/>
  <c r="B40" i="9"/>
  <c r="B43" i="20" s="1"/>
  <c r="B40" i="33"/>
  <c r="B42" i="9"/>
  <c r="B45" i="20" s="1"/>
  <c r="B42" i="33"/>
  <c r="B32" i="9"/>
  <c r="B35" i="20" s="1"/>
  <c r="B32" i="33"/>
  <c r="B36" i="9"/>
  <c r="B39" i="20" s="1"/>
  <c r="B36" i="33"/>
  <c r="B34" i="9"/>
  <c r="B37" i="20" s="1"/>
  <c r="B34" i="33"/>
  <c r="D42" i="9"/>
  <c r="D45" i="20" s="1"/>
  <c r="D36" i="9"/>
  <c r="D39" i="20" s="1"/>
  <c r="D38" i="9"/>
  <c r="D41" i="20" s="1"/>
  <c r="D32" i="9"/>
  <c r="D35" i="20" s="1"/>
  <c r="D34" i="9"/>
  <c r="D37" i="20" s="1"/>
  <c r="D40" i="9"/>
  <c r="D43" i="20" s="1"/>
  <c r="G46" i="6"/>
  <c r="G50" i="6"/>
  <c r="G52" i="6"/>
  <c r="G54" i="6"/>
  <c r="G48" i="6"/>
  <c r="G56" i="6"/>
  <c r="D3" i="13"/>
  <c r="H112" i="13" s="1"/>
  <c r="G53" i="7" l="1"/>
  <c r="H39" i="8" s="1"/>
  <c r="G57" i="7"/>
  <c r="H43" i="8" s="1"/>
  <c r="G51" i="7"/>
  <c r="H37" i="8" s="1"/>
  <c r="G55" i="7"/>
  <c r="H41" i="8" s="1"/>
  <c r="G49" i="7"/>
  <c r="H35" i="8" s="1"/>
  <c r="G47" i="7"/>
  <c r="H33" i="8" s="1"/>
  <c r="G32" i="33" s="1"/>
  <c r="G34" i="9" l="1"/>
  <c r="H37" i="20" s="1"/>
  <c r="G34" i="33"/>
  <c r="G36" i="9"/>
  <c r="H39" i="20" s="1"/>
  <c r="G36" i="33"/>
  <c r="G40" i="9"/>
  <c r="H43" i="20" s="1"/>
  <c r="G40" i="33"/>
  <c r="G42" i="9"/>
  <c r="H45" i="20" s="1"/>
  <c r="G42" i="33"/>
  <c r="G38" i="9"/>
  <c r="H41" i="20" s="1"/>
  <c r="G38" i="33"/>
  <c r="G32" i="9"/>
  <c r="H35" i="20" s="1"/>
  <c r="B67" i="10"/>
  <c r="F67" i="10"/>
  <c r="G60" i="20"/>
  <c r="B60" i="20"/>
  <c r="G52" i="9"/>
  <c r="B52" i="9"/>
  <c r="G63" i="8"/>
  <c r="B63" i="8"/>
  <c r="F66" i="6"/>
  <c r="B66" i="6"/>
  <c r="F67" i="5"/>
  <c r="B67" i="5"/>
  <c r="F66" i="23" l="1"/>
  <c r="P75" i="23" s="1"/>
  <c r="F67" i="32"/>
  <c r="P78" i="32" s="1"/>
  <c r="B66" i="23"/>
  <c r="K75" i="23" s="1"/>
  <c r="B67" i="32"/>
  <c r="K78" i="32" s="1"/>
  <c r="F65" i="7"/>
  <c r="B65" i="7"/>
  <c r="A117" i="13" l="1"/>
  <c r="D23" i="13"/>
  <c r="J23" i="13" s="1"/>
  <c r="E16" i="13"/>
  <c r="I11" i="13"/>
  <c r="A4" i="13"/>
  <c r="E18" i="6" l="1"/>
  <c r="E18" i="20"/>
  <c r="P74" i="20"/>
  <c r="K74" i="20"/>
  <c r="F25" i="20"/>
  <c r="N15" i="20" s="1"/>
  <c r="E7" i="20"/>
  <c r="N7" i="20" s="1"/>
  <c r="E6" i="20"/>
  <c r="N6" i="20" s="1"/>
  <c r="C1" i="20"/>
  <c r="M15" i="20" s="1"/>
  <c r="V13" i="20" s="1"/>
  <c r="X17" i="20" l="1"/>
  <c r="Z17" i="20"/>
  <c r="L1" i="20"/>
  <c r="V17" i="20" l="1"/>
  <c r="V18" i="20" s="1"/>
  <c r="V19" i="20" s="1"/>
  <c r="V20" i="20" s="1"/>
  <c r="V21" i="20" s="1"/>
  <c r="V22" i="20" s="1"/>
  <c r="V23" i="20" s="1"/>
  <c r="V24" i="20" s="1"/>
  <c r="V25" i="20" s="1"/>
  <c r="V26" i="20" s="1"/>
  <c r="V27" i="20" s="1"/>
  <c r="V28" i="20" s="1"/>
  <c r="V29" i="20" s="1"/>
  <c r="V30" i="20" s="1"/>
  <c r="V31" i="20" s="1"/>
  <c r="V32" i="20" s="1"/>
  <c r="V33" i="20" s="1"/>
  <c r="V34" i="20" s="1"/>
  <c r="V35" i="20" s="1"/>
  <c r="V36" i="20" s="1"/>
  <c r="V37" i="20" s="1"/>
  <c r="V38" i="20" s="1"/>
  <c r="V39" i="20" s="1"/>
  <c r="V40" i="20" s="1"/>
  <c r="V41" i="20" s="1"/>
  <c r="V42" i="20" s="1"/>
  <c r="V43" i="20" s="1"/>
  <c r="V44" i="20" s="1"/>
  <c r="V45" i="20" s="1"/>
  <c r="V46" i="20" s="1"/>
  <c r="V47" i="20" s="1"/>
  <c r="V48" i="20" s="1"/>
  <c r="V49" i="20" s="1"/>
  <c r="V50" i="20" s="1"/>
  <c r="V51" i="20" s="1"/>
  <c r="V52" i="20" s="1"/>
  <c r="V53" i="20" s="1"/>
  <c r="V54" i="20" s="1"/>
  <c r="V55" i="20" s="1"/>
  <c r="V56" i="20" s="1"/>
  <c r="V57" i="20" s="1"/>
  <c r="V58" i="20" s="1"/>
  <c r="V59" i="20" s="1"/>
  <c r="V60" i="20" s="1"/>
  <c r="V61" i="20" s="1"/>
  <c r="V62" i="20" s="1"/>
  <c r="V63" i="20" s="1"/>
  <c r="V64" i="20" s="1"/>
  <c r="V65" i="20" s="1"/>
  <c r="V66" i="20" s="1"/>
  <c r="V67" i="20" s="1"/>
  <c r="V68" i="20" s="1"/>
  <c r="V69" i="20" s="1"/>
  <c r="P16" i="7"/>
  <c r="M15" i="6"/>
  <c r="F23" i="32" l="1"/>
  <c r="F24" i="32" s="1"/>
  <c r="G27" i="32" s="1"/>
  <c r="K16" i="32" l="1"/>
  <c r="N15" i="32"/>
  <c r="F24" i="9"/>
  <c r="O15" i="9" s="1"/>
  <c r="F23" i="23"/>
  <c r="N15" i="23" s="1"/>
  <c r="Q26" i="9"/>
  <c r="L26" i="9"/>
  <c r="M34" i="32" l="1"/>
  <c r="K34" i="32"/>
  <c r="M16" i="32"/>
  <c r="M17" i="32"/>
  <c r="K17" i="32"/>
  <c r="N9" i="10"/>
  <c r="X9" i="10" s="1"/>
  <c r="K35" i="32" l="1"/>
  <c r="M35" i="32"/>
  <c r="K18" i="32"/>
  <c r="M18" i="32"/>
  <c r="E9" i="23"/>
  <c r="K36" i="32" l="1"/>
  <c r="M36" i="32"/>
  <c r="K19" i="32"/>
  <c r="M19" i="32"/>
  <c r="C2" i="7"/>
  <c r="M37" i="32" l="1"/>
  <c r="K37" i="32"/>
  <c r="K20" i="32"/>
  <c r="M20" i="32"/>
  <c r="E8" i="23"/>
  <c r="N8" i="23" s="1"/>
  <c r="D39" i="4"/>
  <c r="E11" i="23"/>
  <c r="N11" i="23" s="1"/>
  <c r="E10" i="23"/>
  <c r="N10" i="23" s="1"/>
  <c r="E9" i="8"/>
  <c r="E8" i="6"/>
  <c r="E8" i="20"/>
  <c r="N8" i="20" s="1"/>
  <c r="E9" i="7"/>
  <c r="E8" i="10"/>
  <c r="E8" i="9"/>
  <c r="K38" i="32" l="1"/>
  <c r="M38" i="32"/>
  <c r="E7" i="23"/>
  <c r="N7" i="23" s="1"/>
  <c r="E7" i="32"/>
  <c r="N7" i="32" s="1"/>
  <c r="I29" i="26"/>
  <c r="F13" i="23"/>
  <c r="E7" i="9"/>
  <c r="E6" i="9"/>
  <c r="K39" i="32" l="1"/>
  <c r="M39" i="32"/>
  <c r="F15" i="23"/>
  <c r="F18" i="23"/>
  <c r="I30" i="25" s="1"/>
  <c r="I27" i="25"/>
  <c r="I31" i="25"/>
  <c r="I30" i="26"/>
  <c r="I31" i="26"/>
  <c r="D1" i="5"/>
  <c r="R26" i="7"/>
  <c r="M26" i="7"/>
  <c r="C1" i="10"/>
  <c r="L1" i="10" s="1"/>
  <c r="U1" i="10" s="1"/>
  <c r="P77" i="10"/>
  <c r="K77" i="10"/>
  <c r="C2" i="8"/>
  <c r="C1" i="9"/>
  <c r="N15" i="9" s="1"/>
  <c r="Q26" i="8"/>
  <c r="L26" i="8"/>
  <c r="E8" i="8"/>
  <c r="E7" i="8"/>
  <c r="E8" i="7"/>
  <c r="E7" i="7"/>
  <c r="O26" i="6"/>
  <c r="J26" i="6"/>
  <c r="M40" i="32" l="1"/>
  <c r="K40" i="32"/>
  <c r="N17" i="9"/>
  <c r="N16" i="9"/>
  <c r="F20" i="23"/>
  <c r="F24" i="23" s="1"/>
  <c r="N67" i="23" s="1"/>
  <c r="I29" i="25"/>
  <c r="F31" i="32"/>
  <c r="A123" i="23"/>
  <c r="C1" i="5"/>
  <c r="E11" i="20"/>
  <c r="N11" i="20" s="1"/>
  <c r="F24" i="10"/>
  <c r="N15" i="10" s="1"/>
  <c r="M15" i="10"/>
  <c r="C2" i="5"/>
  <c r="C2" i="6"/>
  <c r="L15" i="6" s="1"/>
  <c r="E7" i="6"/>
  <c r="E6" i="6"/>
  <c r="E6" i="5"/>
  <c r="O76" i="5"/>
  <c r="K76" i="5"/>
  <c r="K41" i="32" l="1"/>
  <c r="M41" i="32"/>
  <c r="F22" i="23"/>
  <c r="F25" i="23" s="1"/>
  <c r="G28" i="23" s="1"/>
  <c r="E6" i="23"/>
  <c r="N6" i="23" s="1"/>
  <c r="E6" i="32"/>
  <c r="N6" i="32" s="1"/>
  <c r="G28" i="32"/>
  <c r="G29" i="32"/>
  <c r="F38" i="32"/>
  <c r="G38" i="32" s="1"/>
  <c r="N71" i="32"/>
  <c r="F36" i="32"/>
  <c r="G36" i="32" s="1"/>
  <c r="F39" i="32"/>
  <c r="G39" i="32" s="1"/>
  <c r="F37" i="32"/>
  <c r="G37" i="32" s="1"/>
  <c r="L16" i="6"/>
  <c r="E24" i="7"/>
  <c r="E28" i="7" s="1"/>
  <c r="E23" i="6"/>
  <c r="E28" i="5"/>
  <c r="F28" i="5" s="1"/>
  <c r="E10" i="10"/>
  <c r="E10" i="9"/>
  <c r="E11" i="7"/>
  <c r="K13" i="13"/>
  <c r="D25" i="13" s="1"/>
  <c r="J25" i="13" s="1"/>
  <c r="E10" i="20"/>
  <c r="N10" i="20" s="1"/>
  <c r="E11" i="8"/>
  <c r="E10" i="6"/>
  <c r="M15" i="5"/>
  <c r="D24" i="13"/>
  <c r="F13" i="20"/>
  <c r="A237" i="5"/>
  <c r="F24" i="6"/>
  <c r="F25" i="8"/>
  <c r="F25" i="7"/>
  <c r="E11" i="10"/>
  <c r="E11" i="9"/>
  <c r="E12" i="7"/>
  <c r="E11" i="6"/>
  <c r="E12" i="8"/>
  <c r="O12" i="8" s="1"/>
  <c r="E7" i="10"/>
  <c r="E6" i="10"/>
  <c r="K42" i="32" l="1"/>
  <c r="M42" i="32"/>
  <c r="M21" i="32"/>
  <c r="K21" i="32"/>
  <c r="M28" i="32"/>
  <c r="K28" i="32"/>
  <c r="F19" i="20"/>
  <c r="I30" i="30" s="1"/>
  <c r="F14" i="20"/>
  <c r="F16" i="20" s="1"/>
  <c r="I32" i="25"/>
  <c r="J24" i="31"/>
  <c r="J24" i="30"/>
  <c r="J24" i="29"/>
  <c r="J24" i="28"/>
  <c r="J24" i="27"/>
  <c r="I27" i="30"/>
  <c r="F32" i="23"/>
  <c r="F37" i="23" s="1"/>
  <c r="G37" i="23" s="1"/>
  <c r="I32" i="26"/>
  <c r="W15" i="5"/>
  <c r="D41" i="10"/>
  <c r="D40" i="10"/>
  <c r="D39" i="10"/>
  <c r="D38" i="10"/>
  <c r="N8" i="10"/>
  <c r="X8" i="10" s="1"/>
  <c r="N7" i="10"/>
  <c r="X7" i="10" s="1"/>
  <c r="N6" i="10"/>
  <c r="X6" i="10" s="1"/>
  <c r="O11" i="9"/>
  <c r="O10" i="9"/>
  <c r="O8" i="9"/>
  <c r="O7" i="9"/>
  <c r="O6" i="9"/>
  <c r="M1" i="9"/>
  <c r="O16" i="8"/>
  <c r="O9" i="8"/>
  <c r="O8" i="8"/>
  <c r="O7" i="8"/>
  <c r="Q2" i="8"/>
  <c r="M2" i="8"/>
  <c r="D36" i="7"/>
  <c r="D35" i="7"/>
  <c r="D34" i="7"/>
  <c r="P12" i="7"/>
  <c r="P9" i="7"/>
  <c r="P8" i="7"/>
  <c r="P7" i="7"/>
  <c r="Q2" i="7"/>
  <c r="K2" i="6"/>
  <c r="M6" i="6"/>
  <c r="M7" i="6"/>
  <c r="M8" i="6"/>
  <c r="M11" i="6"/>
  <c r="E27" i="6"/>
  <c r="D33" i="6"/>
  <c r="D34" i="6"/>
  <c r="D35" i="6"/>
  <c r="D35" i="5"/>
  <c r="D34" i="5"/>
  <c r="D33" i="5"/>
  <c r="N11" i="5"/>
  <c r="N9" i="5"/>
  <c r="E9" i="33" s="1"/>
  <c r="O9" i="33" s="1"/>
  <c r="N7" i="5"/>
  <c r="N6" i="5"/>
  <c r="L2" i="5"/>
  <c r="N15" i="5"/>
  <c r="M43" i="32" l="1"/>
  <c r="K43" i="32"/>
  <c r="K22" i="32"/>
  <c r="M22" i="32"/>
  <c r="K23" i="32"/>
  <c r="M23" i="32"/>
  <c r="M29" i="32"/>
  <c r="K29" i="32"/>
  <c r="F18" i="20"/>
  <c r="G30" i="23"/>
  <c r="E9" i="10"/>
  <c r="E10" i="7"/>
  <c r="P10" i="7" s="1"/>
  <c r="E9" i="20"/>
  <c r="N9" i="20" s="1"/>
  <c r="E9" i="6"/>
  <c r="M9" i="6" s="1"/>
  <c r="E9" i="9"/>
  <c r="O9" i="9" s="1"/>
  <c r="E10" i="8"/>
  <c r="O10" i="8" s="1"/>
  <c r="G17" i="20"/>
  <c r="I29" i="30"/>
  <c r="F39" i="23"/>
  <c r="G39" i="23" s="1"/>
  <c r="F40" i="23"/>
  <c r="G40" i="23" s="1"/>
  <c r="N68" i="23"/>
  <c r="F38" i="23"/>
  <c r="G38" i="23" s="1"/>
  <c r="G29" i="23"/>
  <c r="AA18" i="5"/>
  <c r="W16" i="5" s="1"/>
  <c r="Y18" i="5"/>
  <c r="N2" i="7"/>
  <c r="O16" i="7"/>
  <c r="N16" i="8"/>
  <c r="N17" i="8" s="1"/>
  <c r="M44" i="32" l="1"/>
  <c r="K44" i="32"/>
  <c r="M33" i="23"/>
  <c r="K33" i="23"/>
  <c r="M24" i="32"/>
  <c r="K24" i="32"/>
  <c r="K28" i="23"/>
  <c r="K30" i="32"/>
  <c r="M30" i="32"/>
  <c r="I31" i="30"/>
  <c r="F21" i="20"/>
  <c r="F23" i="20" s="1"/>
  <c r="F26" i="20" s="1"/>
  <c r="K21" i="23"/>
  <c r="M40" i="23"/>
  <c r="K40" i="23"/>
  <c r="K29" i="23"/>
  <c r="M34" i="23"/>
  <c r="K34" i="23"/>
  <c r="K27" i="23"/>
  <c r="M27" i="23"/>
  <c r="M41" i="23"/>
  <c r="K41" i="23"/>
  <c r="K24" i="23"/>
  <c r="M24" i="23"/>
  <c r="M26" i="23"/>
  <c r="K26" i="23"/>
  <c r="K22" i="23"/>
  <c r="M22" i="23"/>
  <c r="M37" i="23"/>
  <c r="K37" i="23"/>
  <c r="M35" i="23"/>
  <c r="K35" i="23"/>
  <c r="M38" i="23"/>
  <c r="K38" i="23"/>
  <c r="M42" i="23"/>
  <c r="K42" i="23"/>
  <c r="K31" i="23"/>
  <c r="M32" i="23"/>
  <c r="M25" i="23"/>
  <c r="K25" i="23"/>
  <c r="M23" i="23"/>
  <c r="K23" i="23"/>
  <c r="M36" i="23"/>
  <c r="K36" i="23"/>
  <c r="M39" i="23"/>
  <c r="K39" i="23"/>
  <c r="W17" i="5"/>
  <c r="A49" i="20"/>
  <c r="O17" i="7"/>
  <c r="F13" i="9"/>
  <c r="F14" i="8"/>
  <c r="F13" i="6"/>
  <c r="F14" i="7"/>
  <c r="F13" i="10"/>
  <c r="N10" i="10"/>
  <c r="X10" i="10" s="1"/>
  <c r="N10" i="5"/>
  <c r="N11" i="10"/>
  <c r="X11" i="10" s="1"/>
  <c r="K45" i="32" l="1"/>
  <c r="M45" i="32"/>
  <c r="F20" i="8"/>
  <c r="I30" i="28" s="1"/>
  <c r="M30" i="23"/>
  <c r="M29" i="23"/>
  <c r="K32" i="23"/>
  <c r="M31" i="23"/>
  <c r="K30" i="23"/>
  <c r="M28" i="23"/>
  <c r="K31" i="32"/>
  <c r="M31" i="32"/>
  <c r="M25" i="32"/>
  <c r="K25" i="32"/>
  <c r="M16" i="23"/>
  <c r="F19" i="9"/>
  <c r="I30" i="29" s="1"/>
  <c r="F19" i="10"/>
  <c r="I30" i="31" s="1"/>
  <c r="F14" i="10"/>
  <c r="F16" i="10" s="1"/>
  <c r="F18" i="10" s="1"/>
  <c r="F20" i="7"/>
  <c r="I30" i="27" s="1"/>
  <c r="F15" i="7"/>
  <c r="F17" i="7" s="1"/>
  <c r="F19" i="6"/>
  <c r="I30" i="13" s="1"/>
  <c r="F14" i="6"/>
  <c r="F16" i="6" s="1"/>
  <c r="K17" i="23"/>
  <c r="K19" i="23"/>
  <c r="M21" i="23"/>
  <c r="M17" i="23"/>
  <c r="M18" i="23"/>
  <c r="K18" i="23"/>
  <c r="M19" i="23"/>
  <c r="K20" i="23"/>
  <c r="M20" i="23"/>
  <c r="K16" i="23"/>
  <c r="I27" i="31"/>
  <c r="I27" i="29"/>
  <c r="I27" i="27"/>
  <c r="I27" i="28"/>
  <c r="I27" i="13"/>
  <c r="W18" i="5"/>
  <c r="I32" i="30"/>
  <c r="O11" i="8"/>
  <c r="M10" i="6"/>
  <c r="P11" i="7"/>
  <c r="M46" i="32" l="1"/>
  <c r="K46" i="32"/>
  <c r="K26" i="32"/>
  <c r="M26" i="32"/>
  <c r="M32" i="32"/>
  <c r="K32" i="32"/>
  <c r="F21" i="10"/>
  <c r="F33" i="10" s="1"/>
  <c r="F19" i="7"/>
  <c r="F22" i="7" s="1"/>
  <c r="F18" i="6"/>
  <c r="F21" i="6" s="1"/>
  <c r="I29" i="31"/>
  <c r="I29" i="27"/>
  <c r="N70" i="5"/>
  <c r="E36" i="5"/>
  <c r="F36" i="5" s="1"/>
  <c r="I29" i="13"/>
  <c r="W19" i="5"/>
  <c r="A48" i="7"/>
  <c r="A112" i="10"/>
  <c r="M47" i="32" l="1"/>
  <c r="K47" i="32"/>
  <c r="K27" i="32"/>
  <c r="M27" i="32"/>
  <c r="M33" i="32"/>
  <c r="K33" i="32"/>
  <c r="F25" i="10"/>
  <c r="N69" i="10" s="1"/>
  <c r="F23" i="10"/>
  <c r="F27" i="6"/>
  <c r="F23" i="6"/>
  <c r="F25" i="6" s="1"/>
  <c r="F28" i="7"/>
  <c r="F24" i="7"/>
  <c r="F26" i="7" s="1"/>
  <c r="I31" i="31"/>
  <c r="W20" i="5"/>
  <c r="I32" i="31"/>
  <c r="I32" i="27"/>
  <c r="M48" i="32" l="1"/>
  <c r="K48" i="32"/>
  <c r="F26" i="10"/>
  <c r="G31" i="10" s="1"/>
  <c r="E35" i="5"/>
  <c r="F35" i="5" s="1"/>
  <c r="W21" i="5"/>
  <c r="E37" i="7"/>
  <c r="F37" i="7" s="1"/>
  <c r="E34" i="5"/>
  <c r="F34" i="5" s="1"/>
  <c r="E33" i="5"/>
  <c r="F33" i="5" s="1"/>
  <c r="M49" i="32" l="1"/>
  <c r="K49" i="32"/>
  <c r="G30" i="10"/>
  <c r="G29" i="10"/>
  <c r="I31" i="27"/>
  <c r="F40" i="10"/>
  <c r="G40" i="10" s="1"/>
  <c r="N70" i="10"/>
  <c r="E34" i="7"/>
  <c r="F34" i="7" s="1"/>
  <c r="P18" i="7"/>
  <c r="W22" i="5"/>
  <c r="F41" i="10"/>
  <c r="G41" i="10" s="1"/>
  <c r="F38" i="10"/>
  <c r="G38" i="10" s="1"/>
  <c r="F39" i="10"/>
  <c r="G39" i="10" s="1"/>
  <c r="E35" i="7"/>
  <c r="F35" i="7" s="1"/>
  <c r="E36" i="7"/>
  <c r="F36" i="7" s="1"/>
  <c r="M50" i="32" l="1"/>
  <c r="K50" i="32"/>
  <c r="W23" i="5"/>
  <c r="P17" i="7"/>
  <c r="A51" i="6"/>
  <c r="I31" i="13" s="1"/>
  <c r="M51" i="32" l="1"/>
  <c r="K51" i="32"/>
  <c r="W24" i="5"/>
  <c r="I32" i="13"/>
  <c r="M52" i="32" l="1"/>
  <c r="K52" i="32"/>
  <c r="W25" i="5"/>
  <c r="M53" i="32" l="1"/>
  <c r="K53" i="32"/>
  <c r="M17" i="6"/>
  <c r="E36" i="6"/>
  <c r="F36" i="6" s="1"/>
  <c r="W26" i="5"/>
  <c r="E34" i="6"/>
  <c r="F34" i="6" s="1"/>
  <c r="E33" i="6"/>
  <c r="F33" i="6" s="1"/>
  <c r="E35" i="6"/>
  <c r="F35" i="6" s="1"/>
  <c r="K54" i="32" l="1"/>
  <c r="M54" i="32"/>
  <c r="W27" i="5"/>
  <c r="M16" i="6"/>
  <c r="K55" i="32" l="1"/>
  <c r="M55" i="32"/>
  <c r="W28" i="5"/>
  <c r="K56" i="32" l="1"/>
  <c r="M56" i="32"/>
  <c r="W29" i="5"/>
  <c r="K57" i="32" l="1"/>
  <c r="M57" i="32"/>
  <c r="W30" i="5"/>
  <c r="M58" i="32" l="1"/>
  <c r="K58" i="32"/>
  <c r="W31" i="5"/>
  <c r="K59" i="32" l="1"/>
  <c r="M59" i="32"/>
  <c r="W32" i="5"/>
  <c r="M60" i="32" l="1"/>
  <c r="K60" i="32"/>
  <c r="W33" i="5"/>
  <c r="K61" i="32" l="1"/>
  <c r="M61" i="32"/>
  <c r="W34" i="5"/>
  <c r="K62" i="32" l="1"/>
  <c r="M62" i="32"/>
  <c r="W35" i="5"/>
  <c r="K63" i="32" l="1"/>
  <c r="M63" i="32"/>
  <c r="W36" i="5"/>
  <c r="K64" i="32" l="1"/>
  <c r="M64" i="32"/>
  <c r="W37" i="5"/>
  <c r="K65" i="32" l="1"/>
  <c r="M65" i="32"/>
  <c r="W38" i="5"/>
  <c r="W39" i="5" l="1"/>
  <c r="W40" i="5" l="1"/>
  <c r="W41" i="5" l="1"/>
  <c r="W42" i="5" l="1"/>
  <c r="W43" i="5" l="1"/>
  <c r="W44" i="5" l="1"/>
  <c r="W45" i="5" l="1"/>
  <c r="W46" i="5" l="1"/>
  <c r="W47" i="5" l="1"/>
  <c r="W48" i="5" l="1"/>
  <c r="W49" i="5" l="1"/>
  <c r="W50" i="5" l="1"/>
  <c r="W51" i="5" l="1"/>
  <c r="W52" i="5" l="1"/>
  <c r="W53" i="5" l="1"/>
  <c r="W54" i="5" l="1"/>
  <c r="W55" i="5" l="1"/>
  <c r="W56" i="5" l="1"/>
  <c r="W57" i="5" l="1"/>
  <c r="W58" i="5" l="1"/>
  <c r="W59" i="5" l="1"/>
  <c r="W60" i="5" l="1"/>
  <c r="W61" i="5" s="1"/>
  <c r="W62" i="5" s="1"/>
  <c r="W63" i="5" s="1"/>
  <c r="W64" i="5" s="1"/>
  <c r="W65" i="5" s="1"/>
  <c r="W66" i="5" s="1"/>
  <c r="W67" i="5" s="1"/>
  <c r="W68" i="5" s="1"/>
  <c r="W69" i="5" s="1"/>
  <c r="Y17" i="5" l="1"/>
  <c r="BL36" i="34" l="1"/>
  <c r="BL34" i="34"/>
  <c r="BL32" i="34"/>
  <c r="BL30" i="34"/>
  <c r="BL28" i="34"/>
  <c r="BL26" i="34"/>
  <c r="BL24" i="34"/>
  <c r="BL22" i="34"/>
  <c r="BL20" i="34"/>
  <c r="BL18" i="34"/>
  <c r="BL29" i="34"/>
  <c r="BL21" i="34"/>
  <c r="BL15" i="34"/>
  <c r="BL13" i="34"/>
  <c r="BL31" i="34"/>
  <c r="BL33" i="34"/>
  <c r="BL23" i="34"/>
  <c r="BL35" i="34"/>
  <c r="BM12" i="34"/>
  <c r="BL37" i="34"/>
  <c r="BL25" i="34"/>
  <c r="BL16" i="34"/>
  <c r="BL14" i="34"/>
  <c r="BL27" i="34"/>
  <c r="BL17" i="34"/>
  <c r="BL19" i="34"/>
  <c r="BC12" i="34" l="1"/>
  <c r="Q7" i="19" s="1"/>
  <c r="AC7" i="19" s="1"/>
  <c r="P7" i="19"/>
  <c r="BO22" i="34"/>
  <c r="BM22" i="34"/>
  <c r="BO16" i="34"/>
  <c r="BM16" i="34"/>
  <c r="BO31" i="34"/>
  <c r="BM31" i="34"/>
  <c r="BM24" i="34"/>
  <c r="BO24" i="34"/>
  <c r="BO33" i="34"/>
  <c r="BM33" i="34"/>
  <c r="BO25" i="34"/>
  <c r="BM25" i="34"/>
  <c r="BO13" i="34"/>
  <c r="BM13" i="34"/>
  <c r="BO26" i="34"/>
  <c r="BM26" i="34"/>
  <c r="BO14" i="34"/>
  <c r="BM14" i="34"/>
  <c r="BO37" i="34"/>
  <c r="BM37" i="34"/>
  <c r="BO15" i="34"/>
  <c r="BM15" i="34"/>
  <c r="BO28" i="34"/>
  <c r="BM28" i="34"/>
  <c r="BO21" i="34"/>
  <c r="BM21" i="34"/>
  <c r="BO30" i="34"/>
  <c r="BM30" i="34"/>
  <c r="BO19" i="34"/>
  <c r="BM19" i="34"/>
  <c r="BO35" i="34"/>
  <c r="BM35" i="34"/>
  <c r="BO29" i="34"/>
  <c r="BM29" i="34"/>
  <c r="BO32" i="34"/>
  <c r="BM32" i="34"/>
  <c r="BO17" i="34"/>
  <c r="BM17" i="34"/>
  <c r="BO18" i="34"/>
  <c r="BM18" i="34"/>
  <c r="BM34" i="34"/>
  <c r="BO34" i="34"/>
  <c r="BO27" i="34"/>
  <c r="BM27" i="34"/>
  <c r="BO23" i="34"/>
  <c r="BM23" i="34"/>
  <c r="BO20" i="34"/>
  <c r="BM20" i="34"/>
  <c r="BO36" i="34"/>
  <c r="BM36" i="34"/>
  <c r="BP23" i="34" l="1"/>
  <c r="BP17" i="34"/>
  <c r="BP19" i="34"/>
  <c r="BP15" i="34"/>
  <c r="BP13" i="34"/>
  <c r="BP31" i="34"/>
  <c r="BP27" i="34"/>
  <c r="BP32" i="34"/>
  <c r="BP30" i="34"/>
  <c r="BP37" i="34"/>
  <c r="BP25" i="34"/>
  <c r="BP16" i="34"/>
  <c r="BP34" i="34"/>
  <c r="BP36" i="34"/>
  <c r="BP29" i="34"/>
  <c r="BP21" i="34"/>
  <c r="BP14" i="34"/>
  <c r="BP33" i="34"/>
  <c r="BP22" i="34"/>
  <c r="BP24" i="34"/>
  <c r="BP20" i="34"/>
  <c r="BP18" i="34"/>
  <c r="BP35" i="34"/>
  <c r="BP28" i="34"/>
  <c r="BP26" i="34"/>
  <c r="BC32" i="34" l="1"/>
  <c r="P27" i="19"/>
  <c r="BC35" i="34"/>
  <c r="P30" i="19"/>
  <c r="BC28" i="34"/>
  <c r="P23" i="19"/>
  <c r="BC36" i="34"/>
  <c r="P31" i="19"/>
  <c r="BC24" i="34"/>
  <c r="P19" i="19"/>
  <c r="P16" i="19"/>
  <c r="BC21" i="34"/>
  <c r="P13" i="19"/>
  <c r="BC18" i="34"/>
  <c r="BC13" i="34"/>
  <c r="Q8" i="19" s="1"/>
  <c r="AC8" i="19" s="1"/>
  <c r="P8" i="19"/>
  <c r="BC19" i="34"/>
  <c r="P14" i="19"/>
  <c r="P24" i="19"/>
  <c r="BC29" i="34"/>
  <c r="BC31" i="34"/>
  <c r="P26" i="19"/>
  <c r="P29" i="19"/>
  <c r="BC34" i="34"/>
  <c r="BC15" i="34"/>
  <c r="P10" i="19"/>
  <c r="BC25" i="34"/>
  <c r="P20" i="19"/>
  <c r="BC37" i="34"/>
  <c r="P32" i="19"/>
  <c r="BC17" i="34"/>
  <c r="P12" i="19"/>
  <c r="BC27" i="34"/>
  <c r="P22" i="19"/>
  <c r="BC20" i="34"/>
  <c r="P15" i="19"/>
  <c r="BC16" i="34"/>
  <c r="P11" i="19"/>
  <c r="P17" i="19"/>
  <c r="BC22" i="34"/>
  <c r="BC33" i="34"/>
  <c r="P28" i="19"/>
  <c r="BC26" i="34"/>
  <c r="P21" i="19"/>
  <c r="BC14" i="34"/>
  <c r="Q9" i="19" s="1"/>
  <c r="AC9" i="19" s="1"/>
  <c r="P9" i="19"/>
  <c r="P25" i="19"/>
  <c r="BC30" i="34"/>
  <c r="P18" i="19"/>
  <c r="BC23" i="34"/>
  <c r="E26" i="5"/>
  <c r="E27" i="24"/>
  <c r="Q29" i="19" l="1"/>
  <c r="AC29" i="19" s="1"/>
  <c r="FK34" i="34"/>
  <c r="Q31" i="19"/>
  <c r="AC31" i="19" s="1"/>
  <c r="FK36" i="34"/>
  <c r="Q12" i="19"/>
  <c r="AC12" i="19" s="1"/>
  <c r="FK17" i="34"/>
  <c r="Q13" i="19"/>
  <c r="AC13" i="19" s="1"/>
  <c r="FK18" i="34"/>
  <c r="Q25" i="19"/>
  <c r="AC25" i="19" s="1"/>
  <c r="FK30" i="34"/>
  <c r="Q11" i="19"/>
  <c r="AC11" i="19" s="1"/>
  <c r="FK16" i="34"/>
  <c r="Q32" i="19"/>
  <c r="AC32" i="19" s="1"/>
  <c r="FK37" i="34"/>
  <c r="Q26" i="19"/>
  <c r="AC26" i="19" s="1"/>
  <c r="FK31" i="34"/>
  <c r="Q23" i="19"/>
  <c r="AC23" i="19" s="1"/>
  <c r="FK28" i="34"/>
  <c r="Q24" i="19"/>
  <c r="AC24" i="19" s="1"/>
  <c r="FK29" i="34"/>
  <c r="Q16" i="19"/>
  <c r="AC16" i="19" s="1"/>
  <c r="FK21" i="34"/>
  <c r="Q21" i="19"/>
  <c r="AC21" i="19" s="1"/>
  <c r="FK26" i="34"/>
  <c r="Q15" i="19"/>
  <c r="AC15" i="19" s="1"/>
  <c r="FK20" i="34"/>
  <c r="Q20" i="19"/>
  <c r="AC20" i="19" s="1"/>
  <c r="FK25" i="34"/>
  <c r="Q30" i="19"/>
  <c r="AC30" i="19" s="1"/>
  <c r="FK35" i="34"/>
  <c r="Q17" i="19"/>
  <c r="AC17" i="19" s="1"/>
  <c r="FK22" i="34"/>
  <c r="Q18" i="19"/>
  <c r="AC18" i="19" s="1"/>
  <c r="FK23" i="34"/>
  <c r="Q28" i="19"/>
  <c r="AC28" i="19" s="1"/>
  <c r="FK33" i="34"/>
  <c r="Q22" i="19"/>
  <c r="AC22" i="19" s="1"/>
  <c r="FK27" i="34"/>
  <c r="Q10" i="19"/>
  <c r="AC10" i="19" s="1"/>
  <c r="FK15" i="34"/>
  <c r="Q14" i="19"/>
  <c r="AC14" i="19" s="1"/>
  <c r="FK19" i="34"/>
  <c r="Q19" i="19"/>
  <c r="AC19" i="19" s="1"/>
  <c r="FK24" i="34"/>
  <c r="Q27" i="19"/>
  <c r="AC27" i="19" s="1"/>
  <c r="FK32" i="34"/>
  <c r="N69" i="5"/>
  <c r="N66" i="5"/>
  <c r="N68" i="5"/>
  <c r="N67" i="5"/>
  <c r="BC114" i="34"/>
  <c r="X15" i="24"/>
  <c r="F27" i="24"/>
  <c r="E16" i="8"/>
  <c r="E15" i="8" s="1"/>
  <c r="F15" i="8" s="1"/>
  <c r="E16" i="33"/>
  <c r="E14" i="33" s="1"/>
  <c r="F14" i="33" s="1"/>
  <c r="F16" i="33" s="1"/>
  <c r="E16" i="9"/>
  <c r="E14" i="9" s="1"/>
  <c r="F14" i="9" s="1"/>
  <c r="F26" i="5"/>
  <c r="N31" i="5" s="1"/>
  <c r="F39" i="4"/>
  <c r="E28" i="20"/>
  <c r="X15" i="5"/>
  <c r="AA17" i="5" s="1"/>
  <c r="M70" i="5" s="1"/>
  <c r="M70" i="10" s="1"/>
  <c r="M69" i="10" s="1"/>
  <c r="U1" i="7"/>
  <c r="O18" i="7" s="1"/>
  <c r="R1" i="6"/>
  <c r="L17" i="6" s="1"/>
  <c r="N63" i="5" l="1"/>
  <c r="K63" i="5" s="1"/>
  <c r="K63" i="10" s="1"/>
  <c r="K69" i="5"/>
  <c r="M69" i="5"/>
  <c r="K68" i="5"/>
  <c r="M68" i="5"/>
  <c r="K67" i="5"/>
  <c r="K67" i="10" s="1"/>
  <c r="M67" i="5"/>
  <c r="M67" i="10" s="1"/>
  <c r="K66" i="5"/>
  <c r="K66" i="10" s="1"/>
  <c r="M66" i="5"/>
  <c r="M66" i="10" s="1"/>
  <c r="N62" i="5"/>
  <c r="N64" i="5"/>
  <c r="N67" i="20"/>
  <c r="N66" i="20"/>
  <c r="N68" i="20"/>
  <c r="N65" i="5"/>
  <c r="AA17" i="24"/>
  <c r="M73" i="24" s="1"/>
  <c r="M70" i="24" s="1"/>
  <c r="M58" i="24"/>
  <c r="N56" i="5"/>
  <c r="K56" i="5" s="1"/>
  <c r="K56" i="10" s="1"/>
  <c r="N57" i="5"/>
  <c r="K57" i="5" s="1"/>
  <c r="K57" i="10" s="1"/>
  <c r="N61" i="5"/>
  <c r="K61" i="5" s="1"/>
  <c r="K61" i="10" s="1"/>
  <c r="N58" i="5"/>
  <c r="K58" i="5" s="1"/>
  <c r="K58" i="10" s="1"/>
  <c r="N60" i="5"/>
  <c r="K60" i="5" s="1"/>
  <c r="K60" i="10" s="1"/>
  <c r="N59" i="5"/>
  <c r="K59" i="5" s="1"/>
  <c r="K59" i="10" s="1"/>
  <c r="N71" i="24"/>
  <c r="M71" i="24" s="1"/>
  <c r="M56" i="24"/>
  <c r="N72" i="24"/>
  <c r="M72" i="24" s="1"/>
  <c r="M57" i="24"/>
  <c r="M55" i="24"/>
  <c r="K44" i="24"/>
  <c r="K54" i="24"/>
  <c r="M46" i="24"/>
  <c r="K49" i="24"/>
  <c r="K33" i="24"/>
  <c r="M35" i="24"/>
  <c r="M45" i="24"/>
  <c r="M17" i="24"/>
  <c r="M51" i="24"/>
  <c r="M19" i="24"/>
  <c r="M37" i="24"/>
  <c r="M27" i="24"/>
  <c r="K34" i="24"/>
  <c r="M50" i="24"/>
  <c r="K28" i="24"/>
  <c r="M42" i="24"/>
  <c r="M47" i="24"/>
  <c r="M40" i="24"/>
  <c r="M21" i="24"/>
  <c r="M38" i="24"/>
  <c r="M23" i="24"/>
  <c r="K43" i="24"/>
  <c r="K16" i="24"/>
  <c r="M32" i="24"/>
  <c r="K53" i="24"/>
  <c r="K29" i="24"/>
  <c r="K18" i="24"/>
  <c r="M22" i="24"/>
  <c r="K48" i="24"/>
  <c r="M39" i="24"/>
  <c r="K24" i="24"/>
  <c r="M25" i="24"/>
  <c r="K20" i="24"/>
  <c r="K26" i="24"/>
  <c r="K30" i="24"/>
  <c r="M41" i="24"/>
  <c r="N48" i="5"/>
  <c r="M48" i="5" s="1"/>
  <c r="M48" i="10" s="1"/>
  <c r="N51" i="5"/>
  <c r="M51" i="5" s="1"/>
  <c r="M51" i="10" s="1"/>
  <c r="N46" i="5"/>
  <c r="K46" i="5" s="1"/>
  <c r="K46" i="10" s="1"/>
  <c r="N42" i="5"/>
  <c r="K42" i="5" s="1"/>
  <c r="K42" i="10" s="1"/>
  <c r="N52" i="5"/>
  <c r="K52" i="5" s="1"/>
  <c r="K52" i="10" s="1"/>
  <c r="N45" i="5"/>
  <c r="K45" i="5" s="1"/>
  <c r="K45" i="10" s="1"/>
  <c r="N54" i="5"/>
  <c r="M54" i="5" s="1"/>
  <c r="M54" i="10" s="1"/>
  <c r="N38" i="5"/>
  <c r="K38" i="5" s="1"/>
  <c r="K38" i="10" s="1"/>
  <c r="N53" i="5"/>
  <c r="K53" i="5" s="1"/>
  <c r="K53" i="10" s="1"/>
  <c r="N55" i="5"/>
  <c r="K55" i="5" s="1"/>
  <c r="K55" i="10" s="1"/>
  <c r="N49" i="5"/>
  <c r="M49" i="5" s="1"/>
  <c r="M49" i="10" s="1"/>
  <c r="N43" i="5"/>
  <c r="M43" i="5" s="1"/>
  <c r="M43" i="10" s="1"/>
  <c r="N33" i="5"/>
  <c r="K33" i="5" s="1"/>
  <c r="K33" i="10" s="1"/>
  <c r="N41" i="5"/>
  <c r="K41" i="5" s="1"/>
  <c r="K41" i="10" s="1"/>
  <c r="N44" i="5"/>
  <c r="K44" i="5" s="1"/>
  <c r="K44" i="10" s="1"/>
  <c r="N50" i="5"/>
  <c r="M50" i="5" s="1"/>
  <c r="M50" i="10" s="1"/>
  <c r="N47" i="5"/>
  <c r="K47" i="5" s="1"/>
  <c r="K47" i="10" s="1"/>
  <c r="M31" i="24"/>
  <c r="K52" i="24"/>
  <c r="N39" i="5"/>
  <c r="K39" i="5" s="1"/>
  <c r="K39" i="10" s="1"/>
  <c r="N34" i="5"/>
  <c r="M34" i="5" s="1"/>
  <c r="M34" i="10" s="1"/>
  <c r="N18" i="5"/>
  <c r="K18" i="5" s="1"/>
  <c r="K18" i="10" s="1"/>
  <c r="N17" i="5"/>
  <c r="K17" i="5" s="1"/>
  <c r="K17" i="10" s="1"/>
  <c r="N21" i="5"/>
  <c r="K21" i="5" s="1"/>
  <c r="K21" i="10" s="1"/>
  <c r="N37" i="5"/>
  <c r="K37" i="5" s="1"/>
  <c r="K37" i="10" s="1"/>
  <c r="N29" i="5"/>
  <c r="K29" i="5" s="1"/>
  <c r="K29" i="10" s="1"/>
  <c r="N23" i="5"/>
  <c r="M23" i="5" s="1"/>
  <c r="M23" i="10" s="1"/>
  <c r="N36" i="5"/>
  <c r="K36" i="5" s="1"/>
  <c r="K36" i="10" s="1"/>
  <c r="N40" i="5"/>
  <c r="K40" i="5" s="1"/>
  <c r="K40" i="10" s="1"/>
  <c r="N30" i="5"/>
  <c r="K30" i="5" s="1"/>
  <c r="K30" i="10" s="1"/>
  <c r="N24" i="5"/>
  <c r="M24" i="5" s="1"/>
  <c r="M24" i="10" s="1"/>
  <c r="N16" i="5"/>
  <c r="M16" i="5" s="1"/>
  <c r="M16" i="10" s="1"/>
  <c r="N32" i="5"/>
  <c r="K32" i="5" s="1"/>
  <c r="K32" i="10" s="1"/>
  <c r="N27" i="5"/>
  <c r="K27" i="5" s="1"/>
  <c r="K27" i="10" s="1"/>
  <c r="N20" i="5"/>
  <c r="M20" i="5" s="1"/>
  <c r="M20" i="10" s="1"/>
  <c r="N26" i="5"/>
  <c r="M26" i="5" s="1"/>
  <c r="M26" i="10" s="1"/>
  <c r="N28" i="5"/>
  <c r="M28" i="5" s="1"/>
  <c r="M28" i="10" s="1"/>
  <c r="N22" i="5"/>
  <c r="K22" i="5" s="1"/>
  <c r="K22" i="10" s="1"/>
  <c r="N35" i="5"/>
  <c r="K35" i="5" s="1"/>
  <c r="K35" i="10" s="1"/>
  <c r="N25" i="5"/>
  <c r="M25" i="5" s="1"/>
  <c r="M25" i="10" s="1"/>
  <c r="N19" i="5"/>
  <c r="M19" i="5" s="1"/>
  <c r="M19" i="10" s="1"/>
  <c r="F17" i="8"/>
  <c r="I28" i="28"/>
  <c r="F28" i="20"/>
  <c r="N21" i="20" s="1"/>
  <c r="K31" i="5"/>
  <c r="K31" i="10" s="1"/>
  <c r="M31" i="5"/>
  <c r="M31" i="10" s="1"/>
  <c r="K36" i="24"/>
  <c r="M36" i="24"/>
  <c r="F16" i="9"/>
  <c r="I28" i="29"/>
  <c r="A55" i="33"/>
  <c r="F17" i="33"/>
  <c r="F18" i="33"/>
  <c r="F21" i="33" s="1"/>
  <c r="F23" i="33" s="1"/>
  <c r="F25" i="33" s="1"/>
  <c r="O16" i="33" s="1"/>
  <c r="A53" i="33"/>
  <c r="M61" i="5" l="1"/>
  <c r="M61" i="10" s="1"/>
  <c r="M63" i="5"/>
  <c r="M63" i="10" s="1"/>
  <c r="M58" i="5"/>
  <c r="M58" i="10" s="1"/>
  <c r="N58" i="20"/>
  <c r="K58" i="20" s="1"/>
  <c r="N59" i="20"/>
  <c r="M59" i="20" s="1"/>
  <c r="N60" i="20"/>
  <c r="K60" i="20" s="1"/>
  <c r="N65" i="20"/>
  <c r="K65" i="20" s="1"/>
  <c r="M68" i="20"/>
  <c r="K68" i="20"/>
  <c r="M66" i="20"/>
  <c r="K66" i="20"/>
  <c r="N16" i="20"/>
  <c r="K16" i="20" s="1"/>
  <c r="M67" i="20"/>
  <c r="K67" i="20"/>
  <c r="N63" i="20"/>
  <c r="K64" i="5"/>
  <c r="K64" i="10" s="1"/>
  <c r="M64" i="5"/>
  <c r="M64" i="10" s="1"/>
  <c r="M57" i="5"/>
  <c r="M57" i="10" s="1"/>
  <c r="M65" i="5"/>
  <c r="M65" i="10" s="1"/>
  <c r="K65" i="5"/>
  <c r="K65" i="10" s="1"/>
  <c r="N64" i="20"/>
  <c r="K62" i="5"/>
  <c r="K62" i="10" s="1"/>
  <c r="M62" i="5"/>
  <c r="M62" i="10" s="1"/>
  <c r="N61" i="20"/>
  <c r="N56" i="20"/>
  <c r="M56" i="20" s="1"/>
  <c r="N62" i="20"/>
  <c r="N57" i="20"/>
  <c r="K55" i="24"/>
  <c r="M60" i="5"/>
  <c r="M60" i="10" s="1"/>
  <c r="M56" i="5"/>
  <c r="M56" i="10" s="1"/>
  <c r="K58" i="24"/>
  <c r="K71" i="24"/>
  <c r="K56" i="24"/>
  <c r="K57" i="24"/>
  <c r="M59" i="5"/>
  <c r="M59" i="10" s="1"/>
  <c r="K72" i="24"/>
  <c r="M34" i="24"/>
  <c r="M54" i="24"/>
  <c r="K45" i="24"/>
  <c r="M28" i="24"/>
  <c r="K23" i="24"/>
  <c r="M16" i="24"/>
  <c r="M33" i="24"/>
  <c r="M48" i="24"/>
  <c r="K22" i="24"/>
  <c r="K46" i="24"/>
  <c r="M53" i="24"/>
  <c r="K32" i="24"/>
  <c r="M45" i="5"/>
  <c r="M45" i="10" s="1"/>
  <c r="M18" i="5"/>
  <c r="M18" i="10" s="1"/>
  <c r="M24" i="24"/>
  <c r="M44" i="24"/>
  <c r="K42" i="24"/>
  <c r="K17" i="24"/>
  <c r="M49" i="24"/>
  <c r="K25" i="24"/>
  <c r="K51" i="24"/>
  <c r="K38" i="24"/>
  <c r="K27" i="24"/>
  <c r="K39" i="24"/>
  <c r="K50" i="24"/>
  <c r="M43" i="24"/>
  <c r="K35" i="24"/>
  <c r="K41" i="24"/>
  <c r="K47" i="24"/>
  <c r="M29" i="24"/>
  <c r="K19" i="24"/>
  <c r="K40" i="24"/>
  <c r="M30" i="5"/>
  <c r="M30" i="10" s="1"/>
  <c r="K21" i="24"/>
  <c r="K37" i="24"/>
  <c r="M17" i="5"/>
  <c r="M17" i="10" s="1"/>
  <c r="M18" i="24"/>
  <c r="M30" i="24"/>
  <c r="K24" i="5"/>
  <c r="K24" i="10" s="1"/>
  <c r="M41" i="5"/>
  <c r="M41" i="10" s="1"/>
  <c r="K54" i="5"/>
  <c r="K54" i="10" s="1"/>
  <c r="M26" i="24"/>
  <c r="M22" i="5"/>
  <c r="M22" i="10" s="1"/>
  <c r="M42" i="5"/>
  <c r="M42" i="10" s="1"/>
  <c r="M20" i="24"/>
  <c r="K48" i="5"/>
  <c r="K48" i="10" s="1"/>
  <c r="M55" i="5"/>
  <c r="M55" i="10" s="1"/>
  <c r="K49" i="5"/>
  <c r="K49" i="10" s="1"/>
  <c r="M46" i="5"/>
  <c r="M46" i="10" s="1"/>
  <c r="K25" i="5"/>
  <c r="K25" i="10" s="1"/>
  <c r="M53" i="5"/>
  <c r="M53" i="10" s="1"/>
  <c r="M38" i="5"/>
  <c r="M38" i="10" s="1"/>
  <c r="M35" i="5"/>
  <c r="M35" i="10" s="1"/>
  <c r="M47" i="5"/>
  <c r="M47" i="10" s="1"/>
  <c r="M44" i="5"/>
  <c r="M44" i="10" s="1"/>
  <c r="K51" i="5"/>
  <c r="K51" i="10" s="1"/>
  <c r="M52" i="5"/>
  <c r="M52" i="10" s="1"/>
  <c r="M40" i="5"/>
  <c r="M40" i="10" s="1"/>
  <c r="M33" i="5"/>
  <c r="M33" i="10" s="1"/>
  <c r="K28" i="5"/>
  <c r="K28" i="10" s="1"/>
  <c r="K50" i="5"/>
  <c r="K50" i="10" s="1"/>
  <c r="K16" i="5"/>
  <c r="K16" i="10" s="1"/>
  <c r="M36" i="5"/>
  <c r="M36" i="10" s="1"/>
  <c r="K43" i="5"/>
  <c r="K43" i="10" s="1"/>
  <c r="K26" i="5"/>
  <c r="K26" i="10" s="1"/>
  <c r="K31" i="24"/>
  <c r="M39" i="5"/>
  <c r="M39" i="10" s="1"/>
  <c r="M21" i="5"/>
  <c r="M21" i="10" s="1"/>
  <c r="M52" i="24"/>
  <c r="K34" i="5"/>
  <c r="K34" i="10" s="1"/>
  <c r="N53" i="20"/>
  <c r="M53" i="20" s="1"/>
  <c r="N18" i="20"/>
  <c r="K18" i="20" s="1"/>
  <c r="N49" i="20"/>
  <c r="K49" i="20" s="1"/>
  <c r="N19" i="20"/>
  <c r="M19" i="20" s="1"/>
  <c r="N36" i="20"/>
  <c r="K36" i="20" s="1"/>
  <c r="N43" i="20"/>
  <c r="K43" i="20" s="1"/>
  <c r="N46" i="20"/>
  <c r="M46" i="20" s="1"/>
  <c r="N55" i="20"/>
  <c r="K55" i="20" s="1"/>
  <c r="N54" i="20"/>
  <c r="M54" i="20" s="1"/>
  <c r="N45" i="20"/>
  <c r="M45" i="20" s="1"/>
  <c r="N48" i="20"/>
  <c r="M48" i="20" s="1"/>
  <c r="N33" i="20"/>
  <c r="M33" i="20" s="1"/>
  <c r="N44" i="20"/>
  <c r="K44" i="20" s="1"/>
  <c r="N52" i="20"/>
  <c r="M52" i="20" s="1"/>
  <c r="N35" i="20"/>
  <c r="K35" i="20" s="1"/>
  <c r="N50" i="20"/>
  <c r="K50" i="20" s="1"/>
  <c r="N41" i="20"/>
  <c r="M41" i="20" s="1"/>
  <c r="N47" i="20"/>
  <c r="M47" i="20" s="1"/>
  <c r="N42" i="20"/>
  <c r="M42" i="20" s="1"/>
  <c r="N51" i="20"/>
  <c r="M51" i="20" s="1"/>
  <c r="M37" i="5"/>
  <c r="M37" i="10" s="1"/>
  <c r="M32" i="5"/>
  <c r="M32" i="10" s="1"/>
  <c r="N31" i="20"/>
  <c r="M31" i="20" s="1"/>
  <c r="N40" i="20"/>
  <c r="K40" i="20" s="1"/>
  <c r="K23" i="5"/>
  <c r="K23" i="10" s="1"/>
  <c r="N20" i="20"/>
  <c r="K20" i="20" s="1"/>
  <c r="M29" i="5"/>
  <c r="M29" i="10" s="1"/>
  <c r="K19" i="5"/>
  <c r="K19" i="10" s="1"/>
  <c r="M27" i="5"/>
  <c r="M27" i="10" s="1"/>
  <c r="N27" i="20"/>
  <c r="M27" i="20" s="1"/>
  <c r="N17" i="20"/>
  <c r="M17" i="20" s="1"/>
  <c r="N28" i="20"/>
  <c r="K28" i="20" s="1"/>
  <c r="N30" i="20"/>
  <c r="K30" i="20" s="1"/>
  <c r="K20" i="5"/>
  <c r="K20" i="10" s="1"/>
  <c r="N22" i="20"/>
  <c r="M22" i="20" s="1"/>
  <c r="N25" i="20"/>
  <c r="M25" i="20" s="1"/>
  <c r="N29" i="20"/>
  <c r="K29" i="20" s="1"/>
  <c r="N26" i="20"/>
  <c r="K26" i="20" s="1"/>
  <c r="N37" i="20"/>
  <c r="M37" i="20" s="1"/>
  <c r="N34" i="20"/>
  <c r="K34" i="20" s="1"/>
  <c r="N32" i="20"/>
  <c r="M32" i="20" s="1"/>
  <c r="N23" i="20"/>
  <c r="M23" i="20" s="1"/>
  <c r="N38" i="20"/>
  <c r="M38" i="20" s="1"/>
  <c r="N39" i="20"/>
  <c r="K39" i="20" s="1"/>
  <c r="N24" i="20"/>
  <c r="M24" i="20" s="1"/>
  <c r="F18" i="9"/>
  <c r="F17" i="9"/>
  <c r="A53" i="9"/>
  <c r="I29" i="29"/>
  <c r="A55" i="9"/>
  <c r="K21" i="20"/>
  <c r="M21" i="20"/>
  <c r="F19" i="8"/>
  <c r="I31" i="28" s="1"/>
  <c r="I29" i="28"/>
  <c r="A70" i="8"/>
  <c r="F18" i="8"/>
  <c r="A72" i="8"/>
  <c r="M60" i="20" l="1"/>
  <c r="K19" i="20"/>
  <c r="M58" i="20"/>
  <c r="M65" i="20"/>
  <c r="K59" i="20"/>
  <c r="M57" i="20"/>
  <c r="K57" i="20"/>
  <c r="M62" i="20"/>
  <c r="K62" i="20"/>
  <c r="K64" i="20"/>
  <c r="M64" i="20"/>
  <c r="M63" i="20"/>
  <c r="K63" i="20"/>
  <c r="M61" i="20"/>
  <c r="K61" i="20"/>
  <c r="K56" i="20"/>
  <c r="K52" i="20"/>
  <c r="K33" i="20"/>
  <c r="K41" i="20"/>
  <c r="K53" i="20"/>
  <c r="K54" i="20"/>
  <c r="K51" i="20"/>
  <c r="M43" i="20"/>
  <c r="K42" i="20"/>
  <c r="K48" i="20"/>
  <c r="M18" i="20"/>
  <c r="K45" i="20"/>
  <c r="M49" i="20"/>
  <c r="K47" i="20"/>
  <c r="M36" i="20"/>
  <c r="M44" i="20"/>
  <c r="M40" i="20"/>
  <c r="M55" i="20"/>
  <c r="M50" i="20"/>
  <c r="M28" i="20"/>
  <c r="K31" i="20"/>
  <c r="K46" i="20"/>
  <c r="M35" i="20"/>
  <c r="K17" i="20"/>
  <c r="M20" i="20"/>
  <c r="K23" i="20"/>
  <c r="K38" i="20"/>
  <c r="K27" i="20"/>
  <c r="K24" i="20"/>
  <c r="K25" i="20"/>
  <c r="K37" i="20"/>
  <c r="M39" i="20"/>
  <c r="M16" i="20"/>
  <c r="M26" i="20"/>
  <c r="M34" i="20"/>
  <c r="M30" i="20"/>
  <c r="K32" i="20"/>
  <c r="K22" i="20"/>
  <c r="M29" i="20"/>
  <c r="F22" i="8"/>
  <c r="F21" i="9"/>
  <c r="I31" i="29"/>
  <c r="F23" i="9" l="1"/>
  <c r="F25" i="9" s="1"/>
  <c r="I32" i="29"/>
  <c r="F24" i="8"/>
  <c r="F26" i="8" s="1"/>
  <c r="O17" i="8" s="1"/>
  <c r="I32" i="28"/>
  <c r="F26" i="9" l="1"/>
  <c r="O17" i="9" s="1"/>
  <c r="O16"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G11" authorId="0" shapeId="0" xr:uid="{00000000-0006-0000-0100-000001000000}">
      <text>
        <r>
          <rPr>
            <b/>
            <sz val="9"/>
            <color indexed="81"/>
            <rFont val="Tahoma"/>
            <family val="2"/>
          </rPr>
          <t>RS date: May 2023</t>
        </r>
      </text>
    </comment>
    <comment ref="CI11" authorId="0" shapeId="0" xr:uid="{00000000-0006-0000-0100-000002000000}">
      <text>
        <r>
          <rPr>
            <b/>
            <sz val="9"/>
            <color indexed="81"/>
            <rFont val="Tahoma"/>
            <family val="2"/>
          </rPr>
          <t>Revised</t>
        </r>
      </text>
    </comment>
    <comment ref="CK11" authorId="0" shapeId="0" xr:uid="{00000000-0006-0000-0100-000003000000}">
      <text>
        <r>
          <rPr>
            <b/>
            <sz val="9"/>
            <color indexed="81"/>
            <rFont val="Tahoma"/>
            <family val="2"/>
          </rPr>
          <t>Revised</t>
        </r>
      </text>
    </comment>
    <comment ref="CM11" authorId="0" shapeId="0" xr:uid="{00000000-0006-0000-0100-000004000000}">
      <text>
        <r>
          <rPr>
            <b/>
            <sz val="9"/>
            <color indexed="81"/>
            <rFont val="Tahoma"/>
            <family val="2"/>
          </rPr>
          <t>Revised</t>
        </r>
      </text>
    </comment>
    <comment ref="CO11" authorId="0" shapeId="0" xr:uid="{00000000-0006-0000-0100-000005000000}">
      <text>
        <r>
          <rPr>
            <b/>
            <sz val="9"/>
            <color indexed="81"/>
            <rFont val="Tahoma"/>
            <family val="2"/>
          </rPr>
          <t>Revised</t>
        </r>
      </text>
    </comment>
    <comment ref="CQ11" authorId="0" shapeId="0" xr:uid="{00000000-0006-0000-0100-000006000000}">
      <text>
        <r>
          <rPr>
            <b/>
            <sz val="9"/>
            <color indexed="81"/>
            <rFont val="Tahoma"/>
            <family val="2"/>
          </rPr>
          <t>Revised</t>
        </r>
      </text>
    </comment>
    <comment ref="CS11" authorId="0" shapeId="0" xr:uid="{00000000-0006-0000-0100-000007000000}">
      <text>
        <r>
          <rPr>
            <b/>
            <sz val="9"/>
            <color indexed="81"/>
            <rFont val="Tahoma"/>
            <family val="2"/>
          </rPr>
          <t>Revised</t>
        </r>
      </text>
    </comment>
    <comment ref="CU11" authorId="0" shapeId="0" xr:uid="{00000000-0006-0000-0100-000008000000}">
      <text>
        <r>
          <rPr>
            <b/>
            <sz val="9"/>
            <color indexed="81"/>
            <rFont val="Tahoma"/>
            <family val="2"/>
          </rPr>
          <t>Revised</t>
        </r>
      </text>
    </comment>
    <comment ref="CW11" authorId="0" shapeId="0" xr:uid="{00000000-0006-0000-0100-000009000000}">
      <text>
        <r>
          <rPr>
            <b/>
            <sz val="9"/>
            <color indexed="81"/>
            <rFont val="Tahoma"/>
            <family val="2"/>
          </rPr>
          <t>Revised</t>
        </r>
      </text>
    </comment>
    <comment ref="CY11" authorId="0" shapeId="0" xr:uid="{00000000-0006-0000-0100-00000A000000}">
      <text>
        <r>
          <rPr>
            <b/>
            <sz val="9"/>
            <color indexed="81"/>
            <rFont val="Tahoma"/>
            <family val="2"/>
          </rPr>
          <t>Revised</t>
        </r>
      </text>
    </comment>
    <comment ref="DA11" authorId="0" shapeId="0" xr:uid="{00000000-0006-0000-0100-00000B000000}">
      <text>
        <r>
          <rPr>
            <b/>
            <sz val="9"/>
            <color indexed="81"/>
            <rFont val="Tahoma"/>
            <family val="2"/>
          </rPr>
          <t>Revised</t>
        </r>
      </text>
    </comment>
    <comment ref="DC11" authorId="0" shapeId="0" xr:uid="{4DD917EF-9D88-44E8-B741-EF478C49F26A}">
      <text>
        <r>
          <rPr>
            <b/>
            <sz val="9"/>
            <color indexed="81"/>
            <rFont val="Tahoma"/>
            <family val="2"/>
          </rPr>
          <t>Revised</t>
        </r>
      </text>
    </comment>
    <comment ref="DE11" authorId="0" shapeId="0" xr:uid="{FA3C1AD9-26F1-4682-8EFB-008A5539207E}">
      <text>
        <r>
          <rPr>
            <b/>
            <sz val="9"/>
            <color indexed="81"/>
            <rFont val="Tahoma"/>
            <family val="2"/>
          </rPr>
          <t>Revised</t>
        </r>
      </text>
    </comment>
    <comment ref="DG11" authorId="0" shapeId="0" xr:uid="{818AF460-4666-4F0B-A769-98C754E411C3}">
      <text>
        <r>
          <rPr>
            <b/>
            <sz val="9"/>
            <color indexed="81"/>
            <rFont val="Tahoma"/>
            <family val="2"/>
          </rPr>
          <t>Revised</t>
        </r>
      </text>
    </comment>
    <comment ref="DI11" authorId="0" shapeId="0" xr:uid="{C891FB59-1460-4274-A6E6-AB9A11581365}">
      <text>
        <r>
          <rPr>
            <b/>
            <sz val="9"/>
            <color indexed="81"/>
            <rFont val="Tahoma"/>
            <family val="2"/>
          </rPr>
          <t>Revised</t>
        </r>
      </text>
    </comment>
    <comment ref="DK11" authorId="0" shapeId="0" xr:uid="{F677454C-5CB4-45E6-BD2F-B8F155038A1B}">
      <text>
        <r>
          <rPr>
            <b/>
            <sz val="9"/>
            <color indexed="81"/>
            <rFont val="Tahoma"/>
            <family val="2"/>
          </rPr>
          <t>Revised</t>
        </r>
      </text>
    </comment>
    <comment ref="DM11" authorId="0" shapeId="0" xr:uid="{39D481BD-3C50-4E0C-814C-53C04AA0E195}">
      <text>
        <r>
          <rPr>
            <b/>
            <sz val="9"/>
            <color indexed="81"/>
            <rFont val="Tahoma"/>
            <family val="2"/>
          </rPr>
          <t>Revised</t>
        </r>
      </text>
    </comment>
    <comment ref="DO11" authorId="0" shapeId="0" xr:uid="{A4DB4F47-23E1-47B5-9D6C-CFE1A1B8CF4E}">
      <text>
        <r>
          <rPr>
            <b/>
            <sz val="9"/>
            <color indexed="81"/>
            <rFont val="Tahoma"/>
            <family val="2"/>
          </rPr>
          <t>Revised</t>
        </r>
      </text>
    </comment>
    <comment ref="DQ11" authorId="0" shapeId="0" xr:uid="{032E52EC-D45D-4BE1-A452-63210FA488F2}">
      <text>
        <r>
          <rPr>
            <b/>
            <sz val="9"/>
            <color indexed="81"/>
            <rFont val="Tahoma"/>
            <family val="2"/>
          </rPr>
          <t>Revised</t>
        </r>
      </text>
    </comment>
    <comment ref="CU13" authorId="0" shapeId="0" xr:uid="{00000000-0006-0000-0100-00000C000000}">
      <text>
        <r>
          <rPr>
            <b/>
            <sz val="9"/>
            <color indexed="81"/>
            <rFont val="Tahoma"/>
            <family val="2"/>
          </rPr>
          <t>from 22 months (tech)-approved by CRV 24 months via viber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R5" authorId="0" shapeId="0" xr:uid="{00000000-0006-0000-0200-000001000000}">
      <text>
        <r>
          <rPr>
            <b/>
            <sz val="9"/>
            <color indexed="81"/>
            <rFont val="Tahoma"/>
            <family val="2"/>
          </rPr>
          <t>based on 15 yrs at 7% interest rate</t>
        </r>
      </text>
    </comment>
    <comment ref="S5" authorId="0" shapeId="0" xr:uid="{00000000-0006-0000-0200-000002000000}">
      <text>
        <r>
          <rPr>
            <b/>
            <sz val="9"/>
            <color indexed="81"/>
            <rFont val="Tahoma"/>
            <family val="2"/>
          </rPr>
          <t>based on 10 yrs</t>
        </r>
      </text>
    </comment>
    <comment ref="T5" authorId="0" shapeId="0" xr:uid="{00000000-0006-0000-0200-000003000000}">
      <text>
        <r>
          <rPr>
            <b/>
            <sz val="9"/>
            <color indexed="81"/>
            <rFont val="Tahoma"/>
            <family val="2"/>
          </rPr>
          <t xml:space="preserve">based on 5 yrs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Wee Comm Developers</author>
  </authors>
  <commentList>
    <comment ref="B6" authorId="0" shapeId="0" xr:uid="{00000000-0006-0000-0300-000001000000}">
      <text>
        <r>
          <rPr>
            <b/>
            <sz val="9"/>
            <color indexed="81"/>
            <rFont val="Tahoma"/>
            <family val="2"/>
          </rPr>
          <t>Wee Comm Developers:</t>
        </r>
        <r>
          <rPr>
            <sz val="9"/>
            <color indexed="81"/>
            <rFont val="Tahoma"/>
            <family val="2"/>
          </rPr>
          <t xml:space="preserve">
Please update; these status are for vloook up testing only</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B26" authorId="0" shapeId="0" xr:uid="{00000000-0006-0000-0500-000001000000}">
      <text>
        <r>
          <rPr>
            <b/>
            <sz val="8"/>
            <color indexed="81"/>
            <rFont val="Tahoma"/>
            <family val="2"/>
          </rPr>
          <t>set-up step-up terms in sheet "Form"</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4" authorId="0" shapeId="0" xr:uid="{00000000-0006-0000-0700-000001000000}">
      <text>
        <r>
          <rPr>
            <b/>
            <sz val="9"/>
            <color indexed="81"/>
            <rFont val="Tahoma"/>
            <family val="2"/>
          </rPr>
          <t>link lumpsum to payment schedule</t>
        </r>
      </text>
    </comment>
    <comment ref="B27" authorId="0" shapeId="0" xr:uid="{00000000-0006-0000-0700-000002000000}">
      <text>
        <r>
          <rPr>
            <b/>
            <sz val="8"/>
            <color indexed="81"/>
            <rFont val="Tahoma"/>
            <family val="2"/>
          </rPr>
          <t>set-up step-up terms in sheet "Form"</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4" authorId="0" shapeId="0" xr:uid="{00000000-0006-0000-0800-000001000000}">
      <text>
        <r>
          <rPr>
            <b/>
            <sz val="9"/>
            <color indexed="81"/>
            <rFont val="Tahoma"/>
            <family val="2"/>
          </rPr>
          <t>link lumpsum  to payment schedule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5" authorId="0" shapeId="0" xr:uid="{00000000-0006-0000-1600-000001000000}">
      <text>
        <r>
          <rPr>
            <b/>
            <sz val="9"/>
            <color indexed="81"/>
            <rFont val="Tahoma"/>
            <family val="2"/>
          </rPr>
          <t>link lumpsum to payment schedule</t>
        </r>
      </text>
    </comment>
  </commentList>
</comments>
</file>

<file path=xl/sharedStrings.xml><?xml version="1.0" encoding="utf-8"?>
<sst xmlns="http://schemas.openxmlformats.org/spreadsheetml/2006/main" count="3058" uniqueCount="576">
  <si>
    <t>STANDARD PACKAGE COMPUTATION</t>
  </si>
  <si>
    <t xml:space="preserve"> </t>
  </si>
  <si>
    <t>DATE :</t>
  </si>
  <si>
    <t>PAYMENT SCHEDULE</t>
  </si>
  <si>
    <t>CLIENT'S NAME</t>
  </si>
  <si>
    <t>:</t>
  </si>
  <si>
    <t>PROJECT NAME</t>
  </si>
  <si>
    <t>UNIT NUMBER</t>
  </si>
  <si>
    <t>TOWER</t>
  </si>
  <si>
    <t>UNIT TYPE</t>
  </si>
  <si>
    <t>LIVEABLE AREA</t>
  </si>
  <si>
    <t>SQM.</t>
  </si>
  <si>
    <t>PARTICULARS</t>
  </si>
  <si>
    <t>DATE</t>
  </si>
  <si>
    <t>AMOUNT</t>
  </si>
  <si>
    <t>REMARKS</t>
  </si>
  <si>
    <t>TOTAL SELLING PRICE</t>
  </si>
  <si>
    <t>RESERVATION FEE</t>
  </si>
  <si>
    <t>Less: Discount on TSP</t>
  </si>
  <si>
    <t>NET SELLING PRICE</t>
  </si>
  <si>
    <t>1st EQUITY PAYMENT</t>
  </si>
  <si>
    <t>2nd EQUITY PAYMENT</t>
  </si>
  <si>
    <t>3rd EQUITY PAYMENT</t>
  </si>
  <si>
    <t>Add: VAT</t>
  </si>
  <si>
    <t>4th EQUITY PAYMENT</t>
  </si>
  <si>
    <t>Add: Legal &amp; Misc. Fees</t>
  </si>
  <si>
    <t>5th EQUITY PAYMENT</t>
  </si>
  <si>
    <t>6th EQUITY PAYMENT</t>
  </si>
  <si>
    <t>TOTAL CONTRACT PRICE</t>
  </si>
  <si>
    <t>7th EQUITY PAYMENT</t>
  </si>
  <si>
    <t>8th EQUITY PAYMENT</t>
  </si>
  <si>
    <t>9th EQUITY PAYMENT</t>
  </si>
  <si>
    <t>Equity down Payment</t>
  </si>
  <si>
    <t>10th EQUITY PAYMENT</t>
  </si>
  <si>
    <t>11th EQUITY PAYMENT</t>
  </si>
  <si>
    <t>12th EQUITY PAYMENT</t>
  </si>
  <si>
    <t>Net  Equity Payment</t>
  </si>
  <si>
    <t>13th EQUITY PAYMENT</t>
  </si>
  <si>
    <t>14th EQUITY PAYMENT</t>
  </si>
  <si>
    <t>15th EQUITY PAYMENT</t>
  </si>
  <si>
    <t xml:space="preserve"> Monthly Equity</t>
  </si>
  <si>
    <t>16th EQUITY PAYMENT</t>
  </si>
  <si>
    <t>17th EQUITY PAYMENT</t>
  </si>
  <si>
    <t>18th EQUITY PAYMENT</t>
  </si>
  <si>
    <t>FULL BALANCE (TCP)</t>
  </si>
  <si>
    <t>19th EQUITY PAYMENT</t>
  </si>
  <si>
    <t>20th EQUITY PAYMENT</t>
  </si>
  <si>
    <t>21st EQUITY PAYMENT</t>
  </si>
  <si>
    <t>Estimated Monthly Amortization</t>
  </si>
  <si>
    <t>22nd EQUITY PAYMENT</t>
  </si>
  <si>
    <t>23rd EQUITY PAYMENT</t>
  </si>
  <si>
    <t>Term</t>
  </si>
  <si>
    <t>Interest Rate</t>
  </si>
  <si>
    <t>Factor Rate</t>
  </si>
  <si>
    <t>Amount</t>
  </si>
  <si>
    <t>Income Requirement</t>
  </si>
  <si>
    <t>24th EQUITY PAYMENT</t>
  </si>
  <si>
    <t>25th EQUITY PAYMENT</t>
  </si>
  <si>
    <t>26th EQUITY PAYMENT</t>
  </si>
  <si>
    <t>27th EQUITY PAYMENT</t>
  </si>
  <si>
    <t>28th EQUITY PAYMENT</t>
  </si>
  <si>
    <t>29th EQUITY PAYMENT</t>
  </si>
  <si>
    <t>30th EQUITY PAYMENT</t>
  </si>
  <si>
    <t>A. Prices are subject to change without prior notice.</t>
  </si>
  <si>
    <t>31st EQUITY PAYMENT</t>
  </si>
  <si>
    <t>B. Bank Fees rates may vary per bank.</t>
  </si>
  <si>
    <t>32nd EQUITY PAYMENT</t>
  </si>
  <si>
    <t>33rd EQUITY PAYMENT</t>
  </si>
  <si>
    <t>Floor Area</t>
  </si>
  <si>
    <t>34th EQUITY PAYMENT</t>
  </si>
  <si>
    <t>Prepared by:</t>
  </si>
  <si>
    <t>Conformed:</t>
  </si>
  <si>
    <t>BALANCE</t>
  </si>
  <si>
    <t>Date</t>
  </si>
  <si>
    <t>Date:</t>
  </si>
  <si>
    <t>SPOT EQUITY PAYMENT</t>
  </si>
  <si>
    <t>less: Spot Equity Discount</t>
  </si>
  <si>
    <t>Net Spot Equity Payment</t>
  </si>
  <si>
    <t>Spot Equity Payment</t>
  </si>
  <si>
    <t>Income requirement</t>
  </si>
  <si>
    <t xml:space="preserve"> DATE : </t>
  </si>
  <si>
    <t>Net Selling Price</t>
  </si>
  <si>
    <t>SPOT CASH PAYMENT</t>
  </si>
  <si>
    <t>NET SPOT CASH PAYMENT</t>
  </si>
  <si>
    <t>DATE OF RESERVATION</t>
  </si>
  <si>
    <t>NAME OF BUYER</t>
  </si>
  <si>
    <t>AGENT/SELLER</t>
  </si>
  <si>
    <t>PAGE</t>
  </si>
  <si>
    <t>1 of 2</t>
  </si>
  <si>
    <t xml:space="preserve">PAGE </t>
  </si>
  <si>
    <t>2 of 2</t>
  </si>
  <si>
    <t xml:space="preserve">PAGE: </t>
  </si>
  <si>
    <t>PAGE:</t>
  </si>
  <si>
    <t>SPECIAL PACKAGE COMPUTATION</t>
  </si>
  <si>
    <t>Floor No.</t>
  </si>
  <si>
    <t>Unit No.</t>
  </si>
  <si>
    <t>Unit Model</t>
  </si>
  <si>
    <t>SPECIAL PACKAGE APPROVAL</t>
  </si>
  <si>
    <t>1 of 3</t>
  </si>
  <si>
    <t>2 of 3</t>
  </si>
  <si>
    <t>3 of 3</t>
  </si>
  <si>
    <t>C&amp;C Head</t>
  </si>
  <si>
    <t>Recommended by:</t>
  </si>
  <si>
    <t>Approved by:</t>
  </si>
  <si>
    <t>Approved</t>
  </si>
  <si>
    <t>Disapproved</t>
  </si>
  <si>
    <t>Remarks:</t>
  </si>
  <si>
    <t>35th EQUITY PAYMENT</t>
  </si>
  <si>
    <t>COO/CEO</t>
  </si>
  <si>
    <t>Total Selling Price</t>
  </si>
  <si>
    <t>CIRCULAR NO.</t>
  </si>
  <si>
    <t>36th EQUITY PAYMENT</t>
  </si>
  <si>
    <t>37th EQUITY PAYMENT</t>
  </si>
  <si>
    <t>38th EQUITY PAYMENT</t>
  </si>
  <si>
    <t>39th EQUITY PAYMENT</t>
  </si>
  <si>
    <t>40th EQUITY PAYMENT</t>
  </si>
  <si>
    <r>
      <t xml:space="preserve">SIGNATURE OVER PRINTED NAME </t>
    </r>
    <r>
      <rPr>
        <b/>
        <i/>
        <sz val="9"/>
        <color theme="1"/>
        <rFont val="Century Gothic"/>
        <family val="2"/>
      </rPr>
      <t>(Please indicate date signed)</t>
    </r>
  </si>
  <si>
    <t>I/We</t>
  </si>
  <si>
    <t>of legal age, a resident of</t>
  </si>
  <si>
    <t xml:space="preserve">, and having the capacity </t>
  </si>
  <si>
    <t>and qualification to own and possess real estate properties in the Philippines, hereby manifest my/our intention to purchase the herein below described property.</t>
  </si>
  <si>
    <t xml:space="preserve">I/We hereby acknowledges that </t>
  </si>
  <si>
    <t xml:space="preserve">(hereinafter known as the “Developer/Company”) </t>
  </si>
  <si>
    <t xml:space="preserve">a corporation duly organized and existing by virtue and under the laws of the Republic of the Philippines, with office at </t>
  </si>
  <si>
    <t xml:space="preserve">is the owner and Developer of a </t>
  </si>
  <si>
    <t>CONDOMINIUM PROJECT known as</t>
  </si>
  <si>
    <t>(the “Project”), to be established and constructed along</t>
  </si>
  <si>
    <t xml:space="preserve">The Property subject to my/our reservation is a </t>
  </si>
  <si>
    <t>unit and is particularly described as follows:</t>
  </si>
  <si>
    <t xml:space="preserve">Project Name: </t>
  </si>
  <si>
    <t>Type:</t>
  </si>
  <si>
    <t>Parking Slot</t>
  </si>
  <si>
    <t xml:space="preserve">Condominium </t>
  </si>
  <si>
    <t>Parking</t>
  </si>
  <si>
    <t>House &amp; Lot / Townhouse</t>
  </si>
  <si>
    <t>Commercial / Office</t>
  </si>
  <si>
    <t>Tower</t>
  </si>
  <si>
    <t>Phase</t>
  </si>
  <si>
    <t>Unit Reference</t>
  </si>
  <si>
    <t>Block No.</t>
  </si>
  <si>
    <t>Slot No.</t>
  </si>
  <si>
    <t>Lot No.</t>
  </si>
  <si>
    <t>Size (sqm)</t>
  </si>
  <si>
    <t>Lot/Floor Area</t>
  </si>
  <si>
    <t>Type of Business</t>
  </si>
  <si>
    <t>Parking Model</t>
  </si>
  <si>
    <t>House Model</t>
  </si>
  <si>
    <t xml:space="preserve">          Less: Discounts</t>
  </si>
  <si>
    <t xml:space="preserve">           Add: Legal &amp; Miscellaneous Fees</t>
  </si>
  <si>
    <t xml:space="preserve">           Add: VAT</t>
  </si>
  <si>
    <t>Total Contract Price</t>
  </si>
  <si>
    <t>BALANCE PAYMENT SCHEME:</t>
  </si>
  <si>
    <t>Bank Financing</t>
  </si>
  <si>
    <t>TERMS AND CONDITIONS</t>
  </si>
  <si>
    <t>1.</t>
  </si>
  <si>
    <t>In connection with my reservation and purchase of the Property, I/we would like the purchase to be registered as follows:</t>
  </si>
  <si>
    <t>In the name of</t>
  </si>
  <si>
    <t xml:space="preserve">NAME </t>
  </si>
  <si>
    <t>POSITION</t>
  </si>
  <si>
    <t>BROKER / AGENT'S NAME</t>
  </si>
  <si>
    <t xml:space="preserve">Buyer's signature over printed name &amp; Date signed </t>
  </si>
  <si>
    <t>Confirmed / Accepted:</t>
  </si>
  <si>
    <t>DESCRIPTION</t>
  </si>
  <si>
    <t xml:space="preserve">DISCOUNT AMOUNT </t>
  </si>
  <si>
    <t xml:space="preserve">CIRCULAR NO. </t>
  </si>
  <si>
    <t xml:space="preserve">As proof of my interest to purchase the Property, I hereby tender the sum of PESOS: </t>
  </si>
  <si>
    <t>)</t>
  </si>
  <si>
    <t>Less: Promo Discount on TSP</t>
  </si>
  <si>
    <t>SPOT CASH_30 DAYS</t>
  </si>
  <si>
    <t>SPOT CASH_60 DAYS</t>
  </si>
  <si>
    <t>Townhouse</t>
  </si>
  <si>
    <t xml:space="preserve">Residential Condominium                        </t>
  </si>
  <si>
    <t xml:space="preserve">Lot only </t>
  </si>
  <si>
    <t>Cash</t>
  </si>
  <si>
    <t>Deferred</t>
  </si>
  <si>
    <t xml:space="preserve">House and Lot    </t>
  </si>
  <si>
    <t>Equity Downpayment</t>
  </si>
  <si>
    <t>Net Equity Payment</t>
  </si>
  <si>
    <t>Montly Equity</t>
  </si>
  <si>
    <t>41st EQUITY PAYMENT</t>
  </si>
  <si>
    <t>42nd EQUITY PAYMENT</t>
  </si>
  <si>
    <t>43rd EQUITY PAYMENT</t>
  </si>
  <si>
    <t>44th EQUITY PAYMENT</t>
  </si>
  <si>
    <t>45th EQUITY PAYMENT</t>
  </si>
  <si>
    <t>46th EQUITY PAYMENT</t>
  </si>
  <si>
    <t>SPOT EQUITY_7 DAYS</t>
  </si>
  <si>
    <r>
      <t>Solely in my name</t>
    </r>
    <r>
      <rPr>
        <sz val="7.5"/>
        <color theme="1"/>
        <rFont val="Century Gothic"/>
        <family val="2"/>
      </rPr>
      <t xml:space="preserve">                                     </t>
    </r>
  </si>
  <si>
    <r>
      <t>In our names</t>
    </r>
    <r>
      <rPr>
        <sz val="7.5"/>
        <color theme="1"/>
        <rFont val="Century Gothic"/>
        <family val="2"/>
      </rPr>
      <t xml:space="preserve">                                                 </t>
    </r>
  </si>
  <si>
    <t>Spot Equity down Payment</t>
  </si>
  <si>
    <t>SPOT EQUITY_30 DAYS</t>
  </si>
  <si>
    <t>less: Spot equity discount</t>
  </si>
  <si>
    <t xml:space="preserve">UNIT NO. </t>
  </si>
  <si>
    <t>DATE:</t>
  </si>
  <si>
    <t xml:space="preserve">Prepared by: </t>
  </si>
  <si>
    <t>DEFERRED PAYMENT</t>
  </si>
  <si>
    <r>
      <t>(</t>
    </r>
    <r>
      <rPr>
        <b/>
        <sz val="7.5"/>
        <color theme="1"/>
        <rFont val="Calibri"/>
        <family val="2"/>
      </rPr>
      <t>₱</t>
    </r>
  </si>
  <si>
    <t>DISCOUNT ON EQUITY</t>
  </si>
  <si>
    <t>DISCOUNT ON TSP</t>
  </si>
  <si>
    <t>APPLICABLE PROMOS AND DISCOUNTS</t>
  </si>
  <si>
    <t>OTHER PROMO</t>
  </si>
  <si>
    <t xml:space="preserve">DESCRIPTION </t>
  </si>
  <si>
    <t>PROMO INCLUSION</t>
  </si>
  <si>
    <t>APPLICABLE PROMO/DISCOUNTS</t>
  </si>
  <si>
    <t>BUYER'S COMPLETE ADDRESS</t>
  </si>
  <si>
    <t>SALE STATUS</t>
  </si>
  <si>
    <t>PRC #/HLURB #</t>
  </si>
  <si>
    <t>EQUITY TERM</t>
  </si>
  <si>
    <t>DISCOUNT  / PROMO INCLUSION</t>
  </si>
  <si>
    <t xml:space="preserve">Individual </t>
  </si>
  <si>
    <t xml:space="preserve">Married to </t>
  </si>
  <si>
    <t xml:space="preserve">Spouses </t>
  </si>
  <si>
    <t xml:space="preserve">Co-Owner </t>
  </si>
  <si>
    <t xml:space="preserve">A Corporation </t>
  </si>
  <si>
    <t xml:space="preserve">A Person </t>
  </si>
  <si>
    <t xml:space="preserve">Trust Account </t>
  </si>
  <si>
    <t>No. of Months</t>
  </si>
  <si>
    <t xml:space="preserve">Monthly Equity </t>
  </si>
  <si>
    <t>TERMS (STEP UP)</t>
  </si>
  <si>
    <t>Percentage</t>
  </si>
  <si>
    <t>1ST EQUITY PAYMENT</t>
  </si>
  <si>
    <t>**Combined unit:</t>
  </si>
  <si>
    <t>**Combined Units</t>
  </si>
  <si>
    <t>**Combined Units:</t>
  </si>
  <si>
    <r>
      <rPr>
        <b/>
        <sz val="14"/>
        <color rgb="FFFF0000"/>
        <rFont val="Cambria"/>
        <family val="1"/>
      </rPr>
      <t>REQUIRED</t>
    </r>
    <r>
      <rPr>
        <b/>
        <sz val="14"/>
        <color theme="0"/>
        <rFont val="Cambria"/>
        <family val="1"/>
      </rPr>
      <t xml:space="preserve"> EQUITY DOWNPAYMENT (%)</t>
    </r>
  </si>
  <si>
    <t>less: Reservation Fee</t>
  </si>
  <si>
    <t>Less: Reservation Fee</t>
  </si>
  <si>
    <t>DATA PRIVACY CONSENT</t>
  </si>
  <si>
    <t>Reservation Date</t>
  </si>
  <si>
    <t>31st of the month</t>
  </si>
  <si>
    <t>balance</t>
  </si>
  <si>
    <t>equity</t>
  </si>
  <si>
    <t>STEP UP TERMS</t>
  </si>
  <si>
    <t>#</t>
  </si>
  <si>
    <t>Project Director</t>
  </si>
  <si>
    <t>UNIT #</t>
  </si>
  <si>
    <t>TOTAL</t>
  </si>
  <si>
    <t>Months Covered</t>
  </si>
  <si>
    <t>Tranche 1</t>
  </si>
  <si>
    <t>Tranche 2</t>
  </si>
  <si>
    <t>Tranche 3</t>
  </si>
  <si>
    <t>Mandurriao, Iloilo</t>
  </si>
  <si>
    <t>Building 1 Pricelist (Ver.01)</t>
  </si>
  <si>
    <t>7% @ 15 years</t>
  </si>
  <si>
    <t>Level</t>
  </si>
  <si>
    <t>Tagging</t>
  </si>
  <si>
    <t>Description</t>
  </si>
  <si>
    <t>Unit</t>
  </si>
  <si>
    <t>Area (sqm)</t>
  </si>
  <si>
    <t>Selling Price</t>
  </si>
  <si>
    <t>LMF and BF</t>
  </si>
  <si>
    <t>Equity Rate</t>
  </si>
  <si>
    <t>Equity</t>
  </si>
  <si>
    <t>Reservation Fee</t>
  </si>
  <si>
    <t>Net Equity</t>
  </si>
  <si>
    <t>Equity Term (Months)</t>
  </si>
  <si>
    <t>Monthly Equity</t>
  </si>
  <si>
    <t>Loanable Amount</t>
  </si>
  <si>
    <t>CODE</t>
  </si>
  <si>
    <t>LEVEL/FLOOR NO.</t>
  </si>
  <si>
    <t>Unit Type</t>
  </si>
  <si>
    <t>&lt;Hide&gt;</t>
  </si>
  <si>
    <t>STATUS</t>
  </si>
  <si>
    <t>SOLD</t>
  </si>
  <si>
    <t>UNSOLD</t>
  </si>
  <si>
    <t>NAME</t>
  </si>
  <si>
    <t>Brokerage/Realty</t>
  </si>
  <si>
    <t>Broker Head/AVP</t>
  </si>
  <si>
    <t>Sales Manager</t>
  </si>
  <si>
    <t xml:space="preserve">Sales Agent/Property Consultant </t>
  </si>
  <si>
    <t>BROKER/AGENT’S NAME</t>
  </si>
  <si>
    <t>Developer Name</t>
  </si>
  <si>
    <t>Dev Address</t>
  </si>
  <si>
    <t>Proj Address</t>
  </si>
  <si>
    <t>Iloilo Southprime Developers Inc.</t>
  </si>
  <si>
    <t>Avancena St Brgy. Avancena Molo Iloilo City</t>
  </si>
  <si>
    <t>Abeto Street, Brgy. Abeto-Mirasol, Mandurriao, Iloilo City</t>
  </si>
  <si>
    <t>LOWER GROUND</t>
  </si>
  <si>
    <t>VAT</t>
  </si>
  <si>
    <t>PARKING SLOT NUMBER</t>
  </si>
  <si>
    <t>PARKING MODEL</t>
  </si>
  <si>
    <t>TOTAL AREA</t>
  </si>
  <si>
    <t>UPPER GROUND</t>
  </si>
  <si>
    <t>B1-LG-PS-01</t>
  </si>
  <si>
    <t>B1-LG-PS-02</t>
  </si>
  <si>
    <t>B1-LG-PS-03</t>
  </si>
  <si>
    <t>B1-LG-PS-04</t>
  </si>
  <si>
    <t>B1-LG-PS-05</t>
  </si>
  <si>
    <t>B1-LG-PS-06</t>
  </si>
  <si>
    <t>B1-LG-PS-07</t>
  </si>
  <si>
    <t>B1-LG-PS-08</t>
  </si>
  <si>
    <t>B1-LG-PS-09</t>
  </si>
  <si>
    <t>B1-LG-PS-10</t>
  </si>
  <si>
    <t>B1-LG-PS-11</t>
  </si>
  <si>
    <t>B1-LG-PS-12</t>
  </si>
  <si>
    <t>B1-LG-PS-13</t>
  </si>
  <si>
    <t>B1-LG-PS-14</t>
  </si>
  <si>
    <t>DELETED</t>
  </si>
  <si>
    <t>Monthly Amort.           15 years @ 7%</t>
  </si>
  <si>
    <t>Monthly Amort.           10 years @ 7%</t>
  </si>
  <si>
    <t>Monthly Amort.           5 years @ 7%</t>
  </si>
  <si>
    <t>Step-Up Computation</t>
  </si>
  <si>
    <t>Months</t>
  </si>
  <si>
    <t>%</t>
  </si>
  <si>
    <t>Total</t>
  </si>
  <si>
    <t>Monthly</t>
  </si>
  <si>
    <t>Step Up 1</t>
  </si>
  <si>
    <t>Step Up 2</t>
  </si>
  <si>
    <t>Step Up 3</t>
  </si>
  <si>
    <t>Months covered</t>
  </si>
  <si>
    <t>The Southprime Flats</t>
  </si>
  <si>
    <t>Edit every month</t>
  </si>
  <si>
    <t>Step Up:</t>
  </si>
  <si>
    <t>Step Up w/ 2.5%:</t>
  </si>
  <si>
    <t>w/ 2.5% Lumpsum:</t>
  </si>
  <si>
    <t>For step up w/ lumpsum &amp; 2.5% lumpsum</t>
  </si>
  <si>
    <t>BUILDING</t>
  </si>
  <si>
    <t>buyer</t>
  </si>
  <si>
    <t>selller</t>
  </si>
  <si>
    <t>address</t>
  </si>
  <si>
    <t>SPOT CASH PAYMENT AFTER 30 DAYS</t>
  </si>
  <si>
    <t>SPOT CASH PAYMENT AFTER 60 DAYS</t>
  </si>
  <si>
    <t>1ST SPOT CASH PAYMENT</t>
  </si>
  <si>
    <t>2ND SPOT CASH PAYMENT</t>
  </si>
  <si>
    <t>B1-LG-PS-015</t>
  </si>
  <si>
    <t>B1-LG-PS-016</t>
  </si>
  <si>
    <t>B1-LG-PS-017</t>
  </si>
  <si>
    <t>B1-LG-PS-018</t>
  </si>
  <si>
    <t>B1-LG-PS-019</t>
  </si>
  <si>
    <t>NOT YET OPEN</t>
  </si>
  <si>
    <t>NOT FOR SALE</t>
  </si>
  <si>
    <t>TO DELETE</t>
  </si>
  <si>
    <t>BASED ON AREA TAB</t>
  </si>
  <si>
    <t>UNIT</t>
  </si>
  <si>
    <t>smaller area</t>
  </si>
  <si>
    <t>bigger area</t>
  </si>
  <si>
    <t>12.5% Equity Step-up, 2.5% Lumpsum</t>
  </si>
  <si>
    <t>12.5% Equity spread, 2.5% Lumpsum</t>
  </si>
  <si>
    <t>1st to 5th month</t>
  </si>
  <si>
    <t>6th to 11th month</t>
  </si>
  <si>
    <t>12th to 17th month</t>
  </si>
  <si>
    <t>less: Lumpsum Payment (18th month)</t>
  </si>
  <si>
    <t>LUMPSUM PAYMENT</t>
  </si>
  <si>
    <t>less: Lumpsum Payment</t>
  </si>
  <si>
    <t>masterlist</t>
  </si>
  <si>
    <t>July 2022</t>
  </si>
  <si>
    <t>10% Equity Step-up</t>
  </si>
  <si>
    <t>Parking (Shared Area)</t>
  </si>
  <si>
    <t>END CONS.</t>
  </si>
  <si>
    <t>PMD TURN OVER</t>
  </si>
  <si>
    <t>NO.</t>
  </si>
  <si>
    <t>BUILDING ALLOCATION</t>
  </si>
  <si>
    <t>TOTAL SLOT/BUILDNG</t>
  </si>
  <si>
    <t>FLOOR LEVEL</t>
  </si>
  <si>
    <t>UNIT ID</t>
  </si>
  <si>
    <t>TYPE</t>
  </si>
  <si>
    <t>GROSS AREA</t>
  </si>
  <si>
    <t>TYPICAL SP/SQM</t>
  </si>
  <si>
    <t>TYPICAL SELLING PRICE</t>
  </si>
  <si>
    <t>GROUND FLOOR</t>
  </si>
  <si>
    <t>ADDITIVES</t>
  </si>
  <si>
    <t>NEW SELLING PRICE</t>
  </si>
  <si>
    <t>( + ) 2.5% INCREASE</t>
  </si>
  <si>
    <t>( + ) 12% VAT</t>
  </si>
  <si>
    <t>( + ) 10% LEGAL &amp; MISCS. FEES</t>
  </si>
  <si>
    <t>EQUITY DP %</t>
  </si>
  <si>
    <t>EQUITY DOWN PAYMENT</t>
  </si>
  <si>
    <t>( - ) RESERVATION FEE</t>
  </si>
  <si>
    <t>( = ) NET EQUITY DOWN PAYMENT</t>
  </si>
  <si>
    <t>MONTHLY EQUITY</t>
  </si>
  <si>
    <t>BALANCE %</t>
  </si>
  <si>
    <t>LOANABLE AMOUNT</t>
  </si>
  <si>
    <t>TURN OVER DATE</t>
  </si>
  <si>
    <t>REMAINING EQUITY</t>
  </si>
  <si>
    <t>Building 1</t>
  </si>
  <si>
    <t>Ground Floor</t>
  </si>
  <si>
    <t>Single Slot</t>
  </si>
  <si>
    <t>Building 2</t>
  </si>
  <si>
    <t>Tandem</t>
  </si>
  <si>
    <t>Building 3</t>
  </si>
  <si>
    <t>2nd Floor</t>
  </si>
  <si>
    <t>BUILDING 1</t>
  </si>
  <si>
    <t>BUILDING 2</t>
  </si>
  <si>
    <t>BUILDING 3</t>
  </si>
  <si>
    <t>SALES STATUS</t>
  </si>
  <si>
    <t>Step-up</t>
  </si>
  <si>
    <t>Step-up, 2.5% Lumpsum</t>
  </si>
  <si>
    <t>Equity spread, 2.5% Lumpsum</t>
  </si>
  <si>
    <t>Building 1-3 Parking Pricelist</t>
  </si>
  <si>
    <t>NSP</t>
  </si>
  <si>
    <t>LMF</t>
  </si>
  <si>
    <t>TCP</t>
  </si>
  <si>
    <t>EQUITY %</t>
  </si>
  <si>
    <t>RF</t>
  </si>
  <si>
    <t xml:space="preserve">MONTHLY </t>
  </si>
  <si>
    <t>Legal &amp; Miscs. Fees</t>
  </si>
  <si>
    <t xml:space="preserve">less: Lumpsum Payment </t>
  </si>
  <si>
    <t>Building Allocation</t>
  </si>
  <si>
    <t>MASTERLIST</t>
  </si>
  <si>
    <t>CHECKING</t>
  </si>
  <si>
    <t>B1</t>
  </si>
  <si>
    <t>PS-GF-B1-6</t>
  </si>
  <si>
    <t>PS-GF-B2-16</t>
  </si>
  <si>
    <t>PS-GF-B3-19</t>
  </si>
  <si>
    <t>HOLD</t>
  </si>
  <si>
    <t>B2</t>
  </si>
  <si>
    <t>B3</t>
  </si>
  <si>
    <t>*Internal applied to Equity term plus 2 months buffer</t>
  </si>
  <si>
    <t xml:space="preserve">CURRENT </t>
  </si>
  <si>
    <t>UPDATED</t>
  </si>
  <si>
    <t>TERM</t>
  </si>
  <si>
    <t>END EQUITY</t>
  </si>
  <si>
    <t>TERM (w/ additional buffer)</t>
  </si>
  <si>
    <t>TSF B1</t>
  </si>
  <si>
    <t>TSF B2</t>
  </si>
  <si>
    <t>TSF B3</t>
  </si>
  <si>
    <t>Fixed for three (3) years</t>
  </si>
  <si>
    <t>Less:</t>
  </si>
  <si>
    <t>Starting June 2023</t>
  </si>
  <si>
    <t>APPLY IN INTEREST RATES:</t>
  </si>
  <si>
    <t>12 months &amp; below-</t>
  </si>
  <si>
    <t>7% interest fixed for 3 yrs</t>
  </si>
  <si>
    <t>13 months &amp; below-</t>
  </si>
  <si>
    <t>7.5% interest fixed for 3 yrs</t>
  </si>
  <si>
    <t xml:space="preserve">For All Equity with 12months and below please use 7% Interest Rate, for all 13months and up please use 7.5% Interest Rate Fixed 3 years. </t>
  </si>
  <si>
    <t>Monthly Amort. 15 years @ 7% fixed 3 yrs only</t>
  </si>
  <si>
    <t>Monthly Amort. 10 years @ 7% fixed 3 yrs only</t>
  </si>
  <si>
    <t>Monthly Amort. 5 years @ 7% fixed 3 yrs only</t>
  </si>
  <si>
    <t>Sample Computation for Interest rate is at 7% fixed for three (3) years only</t>
  </si>
  <si>
    <t>47th EQUITY PAYMENT</t>
  </si>
  <si>
    <t>48th EQUITY PAYMENT</t>
  </si>
  <si>
    <t>49th EQUITY PAYMENT</t>
  </si>
  <si>
    <t>50th EQUITY PAYMENT</t>
  </si>
  <si>
    <t>51st EQUITY PAYMENT</t>
  </si>
  <si>
    <t>52nd EQUITY PAYMENT</t>
  </si>
  <si>
    <t>53rd EQUITY PAYMENT</t>
  </si>
  <si>
    <t>54th EQUITY PAYMENT</t>
  </si>
  <si>
    <t>55th EQUITY PAYMENT</t>
  </si>
  <si>
    <t>SIMULATION</t>
  </si>
  <si>
    <t>VARIANCE ON MONTHLY EQUITY</t>
  </si>
  <si>
    <t>applicable only Nov. 1-14,2023</t>
  </si>
  <si>
    <t>applicable only Nov. 15-31,2023</t>
  </si>
  <si>
    <t>INCREASE RATE (JULY 2024)</t>
  </si>
  <si>
    <t>INCREASED PHP VALUE  (JULY 2024)</t>
  </si>
  <si>
    <t>COMM RECOVERY</t>
  </si>
  <si>
    <t>INCIDENTAL RECOVERY 
(OCT 2024)</t>
  </si>
  <si>
    <t>AMOUNT WITH MARGIN</t>
  </si>
  <si>
    <t>Refund exposure</t>
  </si>
  <si>
    <t>INCIDENTAL RECOVERY 
(OCT 16, 2024)</t>
  </si>
  <si>
    <t>INCREASE RATE (OCT 16, 2024)</t>
  </si>
  <si>
    <t>NEW SELLING PRICE 
(OCT 16,  2024)</t>
  </si>
  <si>
    <t>0</t>
  </si>
  <si>
    <t>BASED ON UPDATED SCHED_OCT. 2024</t>
  </si>
  <si>
    <t>TERM (w/ +2 months PMD)</t>
  </si>
  <si>
    <t>INCIDENTAL RECOVERY 
(DEC 2024)</t>
  </si>
  <si>
    <t>NEW SELLING PRICE 
(DEC 2024)</t>
  </si>
  <si>
    <t>INCIDENTAL RECOVERY 
(JAN 2025)</t>
  </si>
  <si>
    <t>NEW SELLING PRICE 
(JAN 2025)</t>
  </si>
  <si>
    <t>INCIDENTAL RECOVERY 
(FEB 2025)</t>
  </si>
  <si>
    <t>NEW SELLING PRICE 
(FEB 2025)</t>
  </si>
  <si>
    <t>INCIDENTAL RECOVERY 
(MAR 2025)</t>
  </si>
  <si>
    <t>NEW SELLING PRICE 
(MAR 2025)</t>
  </si>
  <si>
    <t>April 1-9,2025</t>
  </si>
  <si>
    <t>April 10,2025</t>
  </si>
  <si>
    <t>INCIDENTAL RECOVERY 
(APR 2025)</t>
  </si>
  <si>
    <t>NEW SELLING PRICE 
(APR 2025)</t>
  </si>
  <si>
    <t>INCIDENTAL RECOVERY 
(MAY 2025)</t>
  </si>
  <si>
    <t>NEW SELLING PRICE 
(MAY 2025)</t>
  </si>
  <si>
    <t>INCIDENTAL RECOVERY (JULY 2025)</t>
  </si>
  <si>
    <t>NEW SELLING PRICE 
(JULY 2025)</t>
  </si>
  <si>
    <t>INCIDENTAL RECOVERY (AUG 2025)</t>
  </si>
  <si>
    <t>NEW SELLING PRICE 
(AUG 2025)</t>
  </si>
  <si>
    <t>INCIDENTAL RECOVERY (SEP 2025)</t>
  </si>
  <si>
    <t>NEW SELLING PRICE 
(SEP 2025)</t>
  </si>
  <si>
    <t>September 2025</t>
  </si>
  <si>
    <t>GF-B1-1</t>
  </si>
  <si>
    <t>GF-B1-2</t>
  </si>
  <si>
    <t>GF-B1-3</t>
  </si>
  <si>
    <t>GF-B1-4</t>
  </si>
  <si>
    <t>GF-B1-5</t>
  </si>
  <si>
    <t>GF-B1-6</t>
  </si>
  <si>
    <t>GF-B1-7</t>
  </si>
  <si>
    <t>GF-B1-8</t>
  </si>
  <si>
    <t>GF-B1-9</t>
  </si>
  <si>
    <t>GF-B1-10</t>
  </si>
  <si>
    <t>GF-B1-11</t>
  </si>
  <si>
    <t>GF-B1-12</t>
  </si>
  <si>
    <t>GF-B1-13</t>
  </si>
  <si>
    <t>GF-B1-14</t>
  </si>
  <si>
    <t>GF-B1-15</t>
  </si>
  <si>
    <t>GF-B1-16</t>
  </si>
  <si>
    <t>GF-B1-17</t>
  </si>
  <si>
    <t>GF-B1-18</t>
  </si>
  <si>
    <t>GF-B1-19</t>
  </si>
  <si>
    <t>GF-B1-20</t>
  </si>
  <si>
    <t>GF-B1-21</t>
  </si>
  <si>
    <t>GF-B1-22</t>
  </si>
  <si>
    <t>GF-B1-23</t>
  </si>
  <si>
    <t>GF-B1-24</t>
  </si>
  <si>
    <t>GF-B1-25</t>
  </si>
  <si>
    <t>GF-B1-26</t>
  </si>
  <si>
    <t>GF-B2-1</t>
  </si>
  <si>
    <t>GF-B2-2</t>
  </si>
  <si>
    <t>GF-B2-3</t>
  </si>
  <si>
    <t>GF-B2-4</t>
  </si>
  <si>
    <t>GF-B2-5</t>
  </si>
  <si>
    <t>GF-B2-6</t>
  </si>
  <si>
    <t>GF-B2-7</t>
  </si>
  <si>
    <t>GF-B2-8</t>
  </si>
  <si>
    <t>GF-B2-9</t>
  </si>
  <si>
    <t>GF-B2-10</t>
  </si>
  <si>
    <t>GF-B2-11</t>
  </si>
  <si>
    <t>GF-B2-12</t>
  </si>
  <si>
    <t>GF-B2-13</t>
  </si>
  <si>
    <t>GF-B2-14</t>
  </si>
  <si>
    <t>GF-B2-15</t>
  </si>
  <si>
    <t>GF-B2-16</t>
  </si>
  <si>
    <t>GF-B2-17</t>
  </si>
  <si>
    <t>GF-B2-18</t>
  </si>
  <si>
    <t>GF-B2-19</t>
  </si>
  <si>
    <t>GF-B2-20</t>
  </si>
  <si>
    <t>GF-B2-21</t>
  </si>
  <si>
    <t>GF-B2-22</t>
  </si>
  <si>
    <t>GF-B2-23</t>
  </si>
  <si>
    <t>GF-B2-24</t>
  </si>
  <si>
    <t>GF-B2-25</t>
  </si>
  <si>
    <t>GF-B2-26</t>
  </si>
  <si>
    <t>GF-B2-27</t>
  </si>
  <si>
    <t>GF-B3-1</t>
  </si>
  <si>
    <t>GF-B3-2</t>
  </si>
  <si>
    <t>GF-B3-3</t>
  </si>
  <si>
    <t>GF-B3-4</t>
  </si>
  <si>
    <t>GF-B3-5</t>
  </si>
  <si>
    <t>GF-B3-6</t>
  </si>
  <si>
    <t>GF-B3-7</t>
  </si>
  <si>
    <t>GF-B3-8</t>
  </si>
  <si>
    <t>GF-B3-9</t>
  </si>
  <si>
    <t>GF-B3-10</t>
  </si>
  <si>
    <t>GF-B3-11</t>
  </si>
  <si>
    <t>GF-B3-12</t>
  </si>
  <si>
    <t>GF-B3-13</t>
  </si>
  <si>
    <t>GF-B3-14</t>
  </si>
  <si>
    <t>GF-B3-15</t>
  </si>
  <si>
    <t>GF-B3-16</t>
  </si>
  <si>
    <t>GF-B3-17</t>
  </si>
  <si>
    <t>GF-B3-18</t>
  </si>
  <si>
    <t>GF-B3-19</t>
  </si>
  <si>
    <t>GF-B3-20</t>
  </si>
  <si>
    <t>2F-B3-1</t>
  </si>
  <si>
    <t>2F-B3-2</t>
  </si>
  <si>
    <t>2F-B3-3</t>
  </si>
  <si>
    <t>2F-B3-4</t>
  </si>
  <si>
    <t>2F-B3-5</t>
  </si>
  <si>
    <t>2F-B3-6</t>
  </si>
  <si>
    <t>2F-B3-7</t>
  </si>
  <si>
    <t>2F-B3-8</t>
  </si>
  <si>
    <t>2F-B3-9</t>
  </si>
  <si>
    <t>2F-B3-10</t>
  </si>
  <si>
    <t>2F-B3-11</t>
  </si>
  <si>
    <t>2F-B3-12</t>
  </si>
  <si>
    <t>2F-B3-13</t>
  </si>
  <si>
    <t>2F-B3-14</t>
  </si>
  <si>
    <t>2F-B3-15</t>
  </si>
  <si>
    <t>2F-B3-16</t>
  </si>
  <si>
    <t>2F-B3-17</t>
  </si>
  <si>
    <t>2F-B3-18</t>
  </si>
  <si>
    <t>2F-B3-19</t>
  </si>
  <si>
    <t>2F-B3-20</t>
  </si>
  <si>
    <t>2F-B3-21</t>
  </si>
  <si>
    <t>2F-B3-22</t>
  </si>
  <si>
    <t>2F-B3-23</t>
  </si>
  <si>
    <t>2F-B3-24</t>
  </si>
  <si>
    <t>2F-B3-25</t>
  </si>
  <si>
    <t>2F-B3-26</t>
  </si>
  <si>
    <t>2F-B3-27</t>
  </si>
  <si>
    <t>2F-B3-28</t>
  </si>
  <si>
    <t>2F-B3-29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</si>
</sst>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7" formatCode="&quot;₱&quot;#,##0.00;\-&quot;₱&quot;#,##0.00"/>
    <numFmt numFmtId="44" formatCode="_-&quot;₱&quot;* #,##0.00_-;\-&quot;₱&quot;* #,##0.00_-;_-&quot;₱&quot;* &quot;-&quot;??_-;_-@_-"/>
    <numFmt numFmtId="43" formatCode="_-* #,##0.00_-;\-* #,##0.00_-;_-* &quot;-&quot;??_-;_-@_-"/>
    <numFmt numFmtId="164" formatCode="_(&quot;$&quot;* #,##0.00_);_(&quot;$&quot;* \(#,##0.00\);_(&quot;$&quot;* &quot;-&quot;??_);_(@_)"/>
    <numFmt numFmtId="165" formatCode="_(* #,##0.00_);_(* \(#,##0.00\);_(* &quot;-&quot;??_);_(@_)"/>
    <numFmt numFmtId="166" formatCode="_(* #,##0_);_(* \(#,##0\);_(* &quot;-&quot;??_);_(@_)"/>
    <numFmt numFmtId="167" formatCode="[$-409]mmmm\ d\,\ yyyy;@"/>
    <numFmt numFmtId="168" formatCode="0.00_ "/>
    <numFmt numFmtId="169" formatCode="[$Php-3409]#,##0.00"/>
    <numFmt numFmtId="170" formatCode="[$-409]d\-mmm\-yy;@"/>
    <numFmt numFmtId="171" formatCode="0.0%"/>
    <numFmt numFmtId="172" formatCode="_([$₱-3409]* #,##0.00_);_([$₱-3409]* \(#,##0.00\);_([$₱-3409]* &quot;-&quot;??_);_(@_)"/>
    <numFmt numFmtId="173" formatCode="&quot;$&quot;#,##0.00"/>
    <numFmt numFmtId="174" formatCode="#,##0.00000000"/>
    <numFmt numFmtId="175" formatCode="_(* #,##0.00_);_(* \(#,##0.00\);_(* &quot;-&quot;??.0_);_(@_)"/>
    <numFmt numFmtId="176" formatCode="#,##0.00;#,##0.00"/>
    <numFmt numFmtId="177" formatCode="mm/dd/yy;@"/>
    <numFmt numFmtId="178" formatCode="&quot;₱&quot;#,##0.00"/>
    <numFmt numFmtId="179" formatCode="#,##0.00000000_);\(#,##0.00000000\)"/>
    <numFmt numFmtId="180" formatCode="[$₱-3409]#,##0.00;[Red][$₱-3409]#,##0.00"/>
    <numFmt numFmtId="181" formatCode="#,##0.00_ ;\-#,##0.00\ "/>
    <numFmt numFmtId="182" formatCode="[$-409]dd\-mmm\-yy;@"/>
    <numFmt numFmtId="183" formatCode="_-* #,##0.00_-;\-* #,##0.00_-;_-* &quot;-&quot;??_-;_-@"/>
    <numFmt numFmtId="184" formatCode="_-* #,##0.0000000_-;\-* #,##0.0000000_-;_-* &quot;-&quot;??_-;_-@"/>
    <numFmt numFmtId="185" formatCode="_(* #,##0.0000000000_);_(* \(#,##0.0000000000\);_(* &quot;-&quot;??_);_(@_)"/>
    <numFmt numFmtId="186" formatCode="[$-3409]dd\-mmm\-yy;@"/>
  </numFmts>
  <fonts count="129" x14ac:knownFonts="1">
    <font>
      <sz val="11"/>
      <color theme="1"/>
      <name val="Calibri"/>
      <family val="2"/>
      <scheme val="minor"/>
    </font>
    <font>
      <sz val="10"/>
      <color theme="1"/>
      <name val="Century Gothic"/>
      <family val="2"/>
    </font>
    <font>
      <sz val="10"/>
      <color theme="1"/>
      <name val="Century Gothic"/>
      <family val="2"/>
    </font>
    <font>
      <b/>
      <sz val="11"/>
      <color theme="1"/>
      <name val="Calibri"/>
      <family val="2"/>
      <scheme val="minor"/>
    </font>
    <font>
      <sz val="11"/>
      <name val="Calibri"/>
      <family val="2"/>
      <scheme val="minor"/>
    </font>
    <font>
      <sz val="11"/>
      <color theme="1"/>
      <name val="Calibri"/>
      <family val="2"/>
      <scheme val="minor"/>
    </font>
    <font>
      <sz val="11"/>
      <color theme="0"/>
      <name val="Calibri"/>
      <family val="2"/>
      <scheme val="minor"/>
    </font>
    <font>
      <b/>
      <sz val="9"/>
      <color theme="0"/>
      <name val="Century Gothic"/>
      <family val="2"/>
    </font>
    <font>
      <sz val="9"/>
      <color theme="1"/>
      <name val="Century Gothic"/>
      <family val="2"/>
    </font>
    <font>
      <sz val="10"/>
      <color theme="1"/>
      <name val="Calibri"/>
      <family val="2"/>
      <scheme val="minor"/>
    </font>
    <font>
      <b/>
      <sz val="10"/>
      <color theme="0"/>
      <name val="Century Gothic"/>
      <family val="2"/>
    </font>
    <font>
      <b/>
      <sz val="12"/>
      <color theme="0"/>
      <name val="Century Gothic"/>
      <family val="2"/>
    </font>
    <font>
      <b/>
      <sz val="10"/>
      <color theme="1"/>
      <name val="Calibri"/>
      <family val="2"/>
      <scheme val="minor"/>
    </font>
    <font>
      <sz val="9"/>
      <color theme="0"/>
      <name val="Century Gothic"/>
      <family val="2"/>
    </font>
    <font>
      <sz val="10"/>
      <color theme="1"/>
      <name val="Century Gothic"/>
      <family val="2"/>
    </font>
    <font>
      <b/>
      <sz val="10"/>
      <color theme="1"/>
      <name val="Century Gothic"/>
      <family val="2"/>
    </font>
    <font>
      <b/>
      <sz val="9"/>
      <color theme="1"/>
      <name val="Century Gothic"/>
      <family val="2"/>
    </font>
    <font>
      <sz val="10"/>
      <color theme="0"/>
      <name val="Calibri"/>
      <family val="2"/>
      <scheme val="minor"/>
    </font>
    <font>
      <sz val="10"/>
      <name val="Century Gothic"/>
      <family val="2"/>
    </font>
    <font>
      <b/>
      <sz val="9"/>
      <name val="Century Gothic"/>
      <family val="2"/>
    </font>
    <font>
      <sz val="9"/>
      <name val="Century Gothic"/>
      <family val="2"/>
    </font>
    <font>
      <sz val="10"/>
      <color theme="0"/>
      <name val="Century Gothic"/>
      <family val="2"/>
    </font>
    <font>
      <sz val="11"/>
      <color rgb="FF000000"/>
      <name val="Calibri"/>
      <family val="2"/>
    </font>
    <font>
      <sz val="10"/>
      <name val="Calibri"/>
      <family val="2"/>
      <scheme val="minor"/>
    </font>
    <font>
      <i/>
      <sz val="8"/>
      <color theme="1"/>
      <name val="Century Gothic"/>
      <family val="2"/>
    </font>
    <font>
      <sz val="8"/>
      <name val="Century Gothic"/>
      <family val="2"/>
    </font>
    <font>
      <sz val="8"/>
      <color theme="1"/>
      <name val="Century Gothic"/>
      <family val="2"/>
    </font>
    <font>
      <i/>
      <sz val="8"/>
      <name val="Century Gothic"/>
      <family val="2"/>
    </font>
    <font>
      <sz val="10"/>
      <name val="Arial"/>
      <family val="2"/>
    </font>
    <font>
      <sz val="8"/>
      <name val="Calibri"/>
      <family val="2"/>
      <scheme val="minor"/>
    </font>
    <font>
      <sz val="10"/>
      <color rgb="FFFF0000"/>
      <name val="Calibri"/>
      <family val="2"/>
      <scheme val="minor"/>
    </font>
    <font>
      <b/>
      <i/>
      <sz val="9"/>
      <color rgb="FFFF0000"/>
      <name val="Century Gothic"/>
      <family val="2"/>
    </font>
    <font>
      <sz val="11"/>
      <color theme="1"/>
      <name val="Century Gothic"/>
      <family val="2"/>
    </font>
    <font>
      <b/>
      <sz val="10"/>
      <name val="Century Gothic"/>
      <family val="2"/>
    </font>
    <font>
      <b/>
      <u/>
      <sz val="12"/>
      <name val="Century Gothic"/>
      <family val="2"/>
    </font>
    <font>
      <sz val="12"/>
      <name val="Century Gothic"/>
      <family val="2"/>
    </font>
    <font>
      <sz val="10"/>
      <color rgb="FFFF0000"/>
      <name val="Century Gothic"/>
      <family val="2"/>
    </font>
    <font>
      <b/>
      <sz val="11"/>
      <color theme="0"/>
      <name val="Century Gothic"/>
      <family val="2"/>
    </font>
    <font>
      <b/>
      <sz val="11"/>
      <color theme="1"/>
      <name val="Century Gothic"/>
      <family val="2"/>
    </font>
    <font>
      <sz val="11"/>
      <color theme="0"/>
      <name val="Century Gothic"/>
      <family val="2"/>
    </font>
    <font>
      <i/>
      <sz val="10"/>
      <color theme="1"/>
      <name val="Century Gothic"/>
      <family val="2"/>
    </font>
    <font>
      <b/>
      <i/>
      <sz val="9"/>
      <color theme="1"/>
      <name val="Century Gothic"/>
      <family val="2"/>
    </font>
    <font>
      <i/>
      <sz val="9"/>
      <color theme="1"/>
      <name val="Century Gothic"/>
      <family val="2"/>
    </font>
    <font>
      <b/>
      <i/>
      <sz val="10"/>
      <color rgb="FFFF0000"/>
      <name val="Century Gothic"/>
      <family val="2"/>
    </font>
    <font>
      <b/>
      <sz val="18"/>
      <color theme="1"/>
      <name val="Century Gothic"/>
      <family val="2"/>
    </font>
    <font>
      <b/>
      <u/>
      <sz val="11"/>
      <name val="Century Gothic"/>
      <family val="2"/>
    </font>
    <font>
      <sz val="11"/>
      <name val="Century Gothic"/>
      <family val="2"/>
    </font>
    <font>
      <sz val="11"/>
      <color rgb="FFFF0000"/>
      <name val="Century Gothic"/>
      <family val="2"/>
    </font>
    <font>
      <sz val="14"/>
      <name val="Cambria"/>
      <family val="1"/>
    </font>
    <font>
      <b/>
      <sz val="14"/>
      <name val="Cambria"/>
      <family val="1"/>
    </font>
    <font>
      <i/>
      <sz val="9"/>
      <name val="Century Gothic"/>
      <family val="2"/>
    </font>
    <font>
      <b/>
      <sz val="14"/>
      <color theme="0"/>
      <name val="Cambria"/>
      <family val="1"/>
    </font>
    <font>
      <sz val="11"/>
      <color rgb="FFFF0000"/>
      <name val="Calibri"/>
      <family val="2"/>
      <scheme val="minor"/>
    </font>
    <font>
      <sz val="10"/>
      <color rgb="FFFF0000"/>
      <name val="Arial"/>
      <family val="2"/>
    </font>
    <font>
      <b/>
      <sz val="10"/>
      <color rgb="FFFF0000"/>
      <name val="Calibri"/>
      <family val="2"/>
      <scheme val="minor"/>
    </font>
    <font>
      <sz val="8"/>
      <color theme="0"/>
      <name val="Century Gothic"/>
      <family val="2"/>
    </font>
    <font>
      <i/>
      <sz val="8"/>
      <color rgb="FFFF0000"/>
      <name val="Century Gothic"/>
      <family val="2"/>
    </font>
    <font>
      <sz val="7.5"/>
      <color theme="1"/>
      <name val="Century Gothic"/>
      <family val="2"/>
    </font>
    <font>
      <b/>
      <sz val="7.5"/>
      <color theme="1"/>
      <name val="Century Gothic"/>
      <family val="2"/>
    </font>
    <font>
      <b/>
      <sz val="8"/>
      <color theme="0"/>
      <name val="Century Gothic"/>
      <family val="2"/>
    </font>
    <font>
      <b/>
      <sz val="1"/>
      <color theme="0"/>
      <name val="Century Gothic"/>
      <family val="2"/>
    </font>
    <font>
      <sz val="9"/>
      <name val="Calibri"/>
      <family val="2"/>
      <scheme val="minor"/>
    </font>
    <font>
      <sz val="9"/>
      <color theme="1"/>
      <name val="Calibri"/>
      <family val="2"/>
      <scheme val="minor"/>
    </font>
    <font>
      <sz val="9"/>
      <color rgb="FFFF0000"/>
      <name val="Calibri"/>
      <family val="2"/>
      <scheme val="minor"/>
    </font>
    <font>
      <sz val="9"/>
      <color theme="1"/>
      <name val="Arial"/>
      <family val="2"/>
    </font>
    <font>
      <i/>
      <sz val="9"/>
      <color rgb="FFFF0000"/>
      <name val="Century Gothic"/>
      <family val="2"/>
    </font>
    <font>
      <sz val="9"/>
      <color theme="0"/>
      <name val="Calibri"/>
      <family val="2"/>
      <scheme val="minor"/>
    </font>
    <font>
      <b/>
      <sz val="7.5"/>
      <color theme="1"/>
      <name val="Calibri"/>
      <family val="2"/>
    </font>
    <font>
      <b/>
      <sz val="16"/>
      <color theme="0"/>
      <name val="Cambria"/>
      <family val="1"/>
    </font>
    <font>
      <sz val="11"/>
      <name val="Arial"/>
      <family val="2"/>
    </font>
    <font>
      <b/>
      <sz val="7.5"/>
      <name val="Century Gothic"/>
      <family val="2"/>
    </font>
    <font>
      <i/>
      <sz val="10"/>
      <name val="Century Gothic"/>
      <family val="2"/>
    </font>
    <font>
      <b/>
      <sz val="10"/>
      <color rgb="FFFF0000"/>
      <name val="Century Gothic"/>
      <family val="2"/>
    </font>
    <font>
      <sz val="10"/>
      <color rgb="FF000000"/>
      <name val="Century Gothic"/>
      <family val="2"/>
    </font>
    <font>
      <sz val="14"/>
      <color theme="0"/>
      <name val="Cambria"/>
      <family val="1"/>
    </font>
    <font>
      <b/>
      <sz val="14"/>
      <color rgb="FFFF0000"/>
      <name val="Cambria"/>
      <family val="1"/>
    </font>
    <font>
      <b/>
      <u/>
      <sz val="11"/>
      <color theme="1"/>
      <name val="Century Gothic"/>
      <family val="2"/>
    </font>
    <font>
      <b/>
      <sz val="26"/>
      <name val="Century Gothic"/>
      <family val="2"/>
    </font>
    <font>
      <b/>
      <sz val="15"/>
      <color theme="0"/>
      <name val="Century Gothic"/>
      <family val="2"/>
    </font>
    <font>
      <sz val="15"/>
      <name val="Century Gothic"/>
      <family val="2"/>
    </font>
    <font>
      <b/>
      <sz val="16"/>
      <name val="Cambria"/>
      <family val="1"/>
    </font>
    <font>
      <b/>
      <sz val="10"/>
      <color theme="1"/>
      <name val="Calibri"/>
      <family val="2"/>
    </font>
    <font>
      <sz val="11"/>
      <color theme="1"/>
      <name val="Calibri"/>
      <family val="2"/>
    </font>
    <font>
      <b/>
      <sz val="8"/>
      <color theme="0"/>
      <name val="Calibri"/>
      <family val="2"/>
    </font>
    <font>
      <sz val="11"/>
      <color theme="0"/>
      <name val="Arial"/>
      <family val="2"/>
    </font>
    <font>
      <sz val="8"/>
      <color theme="0"/>
      <name val="Calibri"/>
      <family val="2"/>
    </font>
    <font>
      <b/>
      <sz val="9"/>
      <color theme="0"/>
      <name val="Calibri"/>
      <family val="2"/>
    </font>
    <font>
      <b/>
      <sz val="11"/>
      <color theme="1"/>
      <name val="Calibri"/>
      <family val="2"/>
    </font>
    <font>
      <sz val="11"/>
      <name val="Calibri"/>
      <family val="2"/>
    </font>
    <font>
      <sz val="9"/>
      <color indexed="81"/>
      <name val="Tahoma"/>
      <family val="2"/>
    </font>
    <font>
      <b/>
      <sz val="9"/>
      <color indexed="81"/>
      <name val="Tahoma"/>
      <family val="2"/>
    </font>
    <font>
      <sz val="8"/>
      <color theme="1"/>
      <name val="Calibri"/>
      <family val="2"/>
    </font>
    <font>
      <sz val="8"/>
      <color theme="1"/>
      <name val="Calibri"/>
      <family val="2"/>
      <scheme val="minor"/>
    </font>
    <font>
      <sz val="15"/>
      <color theme="1"/>
      <name val="Century Gothic"/>
      <family val="2"/>
    </font>
    <font>
      <sz val="14"/>
      <color theme="1"/>
      <name val="Cambria"/>
      <family val="1"/>
    </font>
    <font>
      <sz val="14"/>
      <color rgb="FF000000"/>
      <name val="Cambria"/>
      <family val="1"/>
    </font>
    <font>
      <b/>
      <sz val="10"/>
      <name val="Calibri"/>
      <family val="2"/>
    </font>
    <font>
      <sz val="10"/>
      <name val="Calibri"/>
      <family val="2"/>
    </font>
    <font>
      <sz val="11"/>
      <color theme="0"/>
      <name val="Calibri"/>
      <family val="2"/>
    </font>
    <font>
      <b/>
      <i/>
      <sz val="11"/>
      <color rgb="FFFF0000"/>
      <name val="Calibri"/>
      <family val="2"/>
      <scheme val="minor"/>
    </font>
    <font>
      <i/>
      <sz val="10"/>
      <color rgb="FFFF0000"/>
      <name val="Century Gothic"/>
      <family val="2"/>
    </font>
    <font>
      <sz val="12"/>
      <color theme="1"/>
      <name val="Century Gothic"/>
      <family val="2"/>
    </font>
    <font>
      <b/>
      <sz val="12"/>
      <color theme="1"/>
      <name val="Century Gothic"/>
      <family val="2"/>
    </font>
    <font>
      <b/>
      <u/>
      <sz val="12"/>
      <name val="Calibri"/>
      <family val="2"/>
      <scheme val="minor"/>
    </font>
    <font>
      <sz val="12"/>
      <name val="Calibri"/>
      <family val="2"/>
      <scheme val="minor"/>
    </font>
    <font>
      <sz val="12"/>
      <color rgb="FFFF0000"/>
      <name val="Calibri"/>
      <family val="2"/>
      <scheme val="minor"/>
    </font>
    <font>
      <sz val="10"/>
      <color theme="1"/>
      <name val="Arial"/>
      <family val="2"/>
    </font>
    <font>
      <b/>
      <u/>
      <sz val="10"/>
      <name val="Century Gothic"/>
      <family val="2"/>
    </font>
    <font>
      <sz val="8"/>
      <color rgb="FFFF0000"/>
      <name val="Calibri"/>
      <family val="2"/>
    </font>
    <font>
      <sz val="10"/>
      <color rgb="FFFF0000"/>
      <name val="Calibri"/>
      <family val="2"/>
    </font>
    <font>
      <sz val="11"/>
      <color rgb="FFFF0000"/>
      <name val="Calibri"/>
      <family val="2"/>
    </font>
    <font>
      <b/>
      <sz val="8"/>
      <color theme="1"/>
      <name val="Calibri"/>
      <family val="2"/>
    </font>
    <font>
      <sz val="10"/>
      <color rgb="FF000000"/>
      <name val="Calibri"/>
      <family val="2"/>
      <scheme val="minor"/>
    </font>
    <font>
      <b/>
      <sz val="10"/>
      <color rgb="FF000000"/>
      <name val="Calibri"/>
      <family val="2"/>
      <scheme val="minor"/>
    </font>
    <font>
      <b/>
      <sz val="10"/>
      <name val="Calibri"/>
      <family val="2"/>
      <scheme val="minor"/>
    </font>
    <font>
      <b/>
      <sz val="10"/>
      <color theme="0"/>
      <name val="Calibri"/>
      <family val="2"/>
      <scheme val="minor"/>
    </font>
    <font>
      <b/>
      <sz val="9.5"/>
      <color theme="0"/>
      <name val="Calibri"/>
      <family val="2"/>
      <scheme val="minor"/>
    </font>
    <font>
      <sz val="11"/>
      <color theme="1"/>
      <name val="Arial"/>
      <family val="2"/>
    </font>
    <font>
      <b/>
      <sz val="10"/>
      <color theme="0"/>
      <name val="Calibri"/>
      <family val="2"/>
    </font>
    <font>
      <b/>
      <sz val="8"/>
      <color indexed="81"/>
      <name val="Tahoma"/>
      <family val="2"/>
    </font>
    <font>
      <b/>
      <sz val="11"/>
      <name val="Calibri"/>
      <family val="2"/>
    </font>
    <font>
      <b/>
      <i/>
      <sz val="11"/>
      <name val="Calibri"/>
      <family val="2"/>
      <scheme val="minor"/>
    </font>
    <font>
      <b/>
      <sz val="11"/>
      <name val="Calibri"/>
      <family val="2"/>
      <scheme val="minor"/>
    </font>
    <font>
      <b/>
      <sz val="12"/>
      <name val="Calibri"/>
      <family val="2"/>
      <scheme val="minor"/>
    </font>
    <font>
      <b/>
      <sz val="10"/>
      <color rgb="FFFF0000"/>
      <name val="Arial Narrow"/>
      <family val="2"/>
    </font>
    <font>
      <sz val="10"/>
      <name val="Arial Narrow"/>
      <family val="2"/>
    </font>
    <font>
      <sz val="10"/>
      <color rgb="FF000000"/>
      <name val="Arial Narrow"/>
      <family val="2"/>
    </font>
    <font>
      <b/>
      <sz val="11"/>
      <color rgb="FFFF0000"/>
      <name val="Arial Narrow"/>
      <family val="2"/>
    </font>
    <font>
      <u/>
      <sz val="10"/>
      <color theme="10"/>
      <name val="Arial"/>
      <family val="2"/>
    </font>
  </fonts>
  <fills count="2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7" tint="0.79998168889431442"/>
        <bgColor rgb="FFFFC000"/>
      </patternFill>
    </fill>
    <fill>
      <patternFill patternType="solid">
        <fgColor theme="0"/>
        <bgColor indexed="51"/>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008000"/>
        <bgColor indexed="64"/>
      </patternFill>
    </fill>
    <fill>
      <patternFill patternType="solid">
        <fgColor rgb="FF92D050"/>
        <bgColor indexed="64"/>
      </patternFill>
    </fill>
    <fill>
      <patternFill patternType="solid">
        <fgColor rgb="FF33CC33"/>
        <bgColor indexed="64"/>
      </patternFill>
    </fill>
    <fill>
      <patternFill patternType="solid">
        <fgColor rgb="FF006600"/>
        <bgColor indexed="64"/>
      </patternFill>
    </fill>
    <fill>
      <patternFill patternType="solid">
        <fgColor theme="9" tint="0.39997558519241921"/>
        <bgColor indexed="64"/>
      </patternFill>
    </fill>
    <fill>
      <patternFill patternType="solid">
        <fgColor rgb="FFFF0000"/>
        <bgColor indexed="64"/>
      </patternFill>
    </fill>
    <fill>
      <patternFill patternType="solid">
        <fgColor rgb="FFFFC00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1" tint="0.249977111117893"/>
        <bgColor indexed="64"/>
      </patternFill>
    </fill>
    <fill>
      <patternFill patternType="solid">
        <fgColor theme="4" tint="0.59999389629810485"/>
        <bgColor indexed="64"/>
      </patternFill>
    </fill>
  </fills>
  <borders count="129">
    <border>
      <left/>
      <right/>
      <top/>
      <bottom/>
      <diagonal/>
    </border>
    <border>
      <left style="thin">
        <color auto="1"/>
      </left>
      <right style="thin">
        <color auto="1"/>
      </right>
      <top style="thin">
        <color auto="1"/>
      </top>
      <bottom style="thin">
        <color auto="1"/>
      </bottom>
      <diagonal/>
    </border>
    <border>
      <left/>
      <right style="thin">
        <color theme="2" tint="-0.499984740745262"/>
      </right>
      <top/>
      <bottom/>
      <diagonal/>
    </border>
    <border>
      <left/>
      <right/>
      <top/>
      <bottom style="thin">
        <color theme="0"/>
      </bottom>
      <diagonal/>
    </border>
    <border>
      <left/>
      <right/>
      <top/>
      <bottom style="medium">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theme="0"/>
      </top>
      <bottom style="thin">
        <color theme="0"/>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0"/>
      </left>
      <right style="thin">
        <color theme="0"/>
      </right>
      <top style="thin">
        <color theme="1" tint="0.34998626667073579"/>
      </top>
      <bottom style="thin">
        <color theme="1" tint="0.34998626667073579"/>
      </bottom>
      <diagonal/>
    </border>
    <border>
      <left style="thin">
        <color theme="0"/>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right/>
      <top/>
      <bottom style="thin">
        <color theme="1" tint="0.34998626667073579"/>
      </bottom>
      <diagonal/>
    </border>
    <border>
      <left style="thin">
        <color auto="1"/>
      </left>
      <right/>
      <top style="thin">
        <color auto="1"/>
      </top>
      <bottom/>
      <diagonal/>
    </border>
    <border>
      <left/>
      <right style="thin">
        <color theme="0"/>
      </right>
      <top style="thin">
        <color theme="1" tint="0.34998626667073579"/>
      </top>
      <bottom style="thin">
        <color theme="1" tint="0.34998626667073579"/>
      </bottom>
      <diagonal/>
    </border>
    <border>
      <left/>
      <right style="thin">
        <color theme="1" tint="0.34998626667073579"/>
      </right>
      <top/>
      <bottom/>
      <diagonal/>
    </border>
    <border>
      <left/>
      <right style="thin">
        <color theme="0"/>
      </right>
      <top/>
      <bottom/>
      <diagonal/>
    </border>
    <border>
      <left/>
      <right style="thin">
        <color auto="1"/>
      </right>
      <top style="thin">
        <color auto="1"/>
      </top>
      <bottom style="thin">
        <color auto="1"/>
      </bottom>
      <diagonal/>
    </border>
    <border>
      <left/>
      <right/>
      <top style="thin">
        <color theme="1" tint="0.34998626667073579"/>
      </top>
      <bottom style="thin">
        <color auto="1"/>
      </bottom>
      <diagonal/>
    </border>
    <border>
      <left style="thin">
        <color theme="1" tint="0.34998626667073579"/>
      </left>
      <right/>
      <top/>
      <bottom/>
      <diagonal/>
    </border>
    <border>
      <left style="thin">
        <color theme="1" tint="0.34998626667073579"/>
      </left>
      <right/>
      <top style="thin">
        <color auto="1"/>
      </top>
      <bottom style="thin">
        <color auto="1"/>
      </bottom>
      <diagonal/>
    </border>
    <border>
      <left/>
      <right/>
      <top style="thin">
        <color auto="1"/>
      </top>
      <bottom style="thin">
        <color theme="1" tint="0.34998626667073579"/>
      </bottom>
      <diagonal/>
    </border>
    <border>
      <left style="thin">
        <color auto="1"/>
      </left>
      <right/>
      <top/>
      <bottom/>
      <diagonal/>
    </border>
    <border>
      <left/>
      <right style="thin">
        <color theme="0"/>
      </right>
      <top style="thin">
        <color auto="1"/>
      </top>
      <bottom style="thin">
        <color auto="1"/>
      </bottom>
      <diagonal/>
    </border>
    <border>
      <left/>
      <right/>
      <top style="thin">
        <color theme="1" tint="0.34998626667073579"/>
      </top>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right style="thin">
        <color theme="1" tint="0.34998626667073579"/>
      </right>
      <top style="thin">
        <color theme="0"/>
      </top>
      <bottom style="thin">
        <color theme="0"/>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auto="1"/>
      </top>
      <bottom style="thin">
        <color theme="1" tint="0.34998626667073579"/>
      </bottom>
      <diagonal/>
    </border>
    <border>
      <left style="thin">
        <color theme="1" tint="0.34998626667073579"/>
      </left>
      <right/>
      <top/>
      <bottom style="thin">
        <color auto="1"/>
      </bottom>
      <diagonal/>
    </border>
    <border>
      <left/>
      <right style="thin">
        <color theme="0"/>
      </right>
      <top/>
      <bottom style="thin">
        <color auto="1"/>
      </bottom>
      <diagonal/>
    </border>
    <border>
      <left style="thin">
        <color theme="1" tint="0.34998626667073579"/>
      </left>
      <right style="thin">
        <color theme="1" tint="0.34998626667073579"/>
      </right>
      <top/>
      <bottom style="thin">
        <color theme="1" tint="0.34998626667073579"/>
      </bottom>
      <diagonal/>
    </border>
    <border>
      <left style="thin">
        <color auto="1"/>
      </left>
      <right/>
      <top/>
      <bottom style="thin">
        <color auto="1"/>
      </bottom>
      <diagonal/>
    </border>
    <border>
      <left/>
      <right style="thin">
        <color auto="1"/>
      </right>
      <top style="thin">
        <color auto="1"/>
      </top>
      <bottom/>
      <diagonal/>
    </border>
    <border>
      <left style="thin">
        <color theme="0"/>
      </left>
      <right/>
      <top style="thin">
        <color theme="1" tint="0.34998626667073579"/>
      </top>
      <bottom style="thin">
        <color theme="1" tint="0.34998626667073579"/>
      </bottom>
      <diagonal/>
    </border>
    <border>
      <left style="thin">
        <color theme="1" tint="0.34998626667073579"/>
      </left>
      <right style="thin">
        <color theme="1" tint="0.34998626667073579"/>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theme="0"/>
      </left>
      <right style="thin">
        <color theme="0"/>
      </right>
      <top/>
      <bottom/>
      <diagonal/>
    </border>
    <border>
      <left/>
      <right/>
      <top style="thin">
        <color theme="0"/>
      </top>
      <bottom/>
      <diagonal/>
    </border>
    <border>
      <left style="thin">
        <color auto="1"/>
      </left>
      <right style="thin">
        <color theme="1" tint="0.34998626667073579"/>
      </right>
      <top style="thin">
        <color theme="1" tint="0.34998626667073579"/>
      </top>
      <bottom style="thin">
        <color theme="1" tint="0.34998626667073579"/>
      </bottom>
      <diagonal/>
    </border>
    <border>
      <left style="hair">
        <color theme="1" tint="0.34998626667073579"/>
      </left>
      <right/>
      <top style="hair">
        <color theme="1" tint="0.34998626667073579"/>
      </top>
      <bottom/>
      <diagonal/>
    </border>
    <border>
      <left/>
      <right/>
      <top style="hair">
        <color theme="1" tint="0.34998626667073579"/>
      </top>
      <bottom/>
      <diagonal/>
    </border>
    <border>
      <left/>
      <right style="hair">
        <color theme="1" tint="0.34998626667073579"/>
      </right>
      <top style="hair">
        <color theme="1" tint="0.34998626667073579"/>
      </top>
      <bottom/>
      <diagonal/>
    </border>
    <border>
      <left style="hair">
        <color theme="1" tint="0.34998626667073579"/>
      </left>
      <right/>
      <top/>
      <bottom style="hair">
        <color theme="1" tint="0.34998626667073579"/>
      </bottom>
      <diagonal/>
    </border>
    <border>
      <left/>
      <right/>
      <top/>
      <bottom style="hair">
        <color theme="1" tint="0.34998626667073579"/>
      </bottom>
      <diagonal/>
    </border>
    <border>
      <left/>
      <right style="hair">
        <color theme="1" tint="0.34998626667073579"/>
      </right>
      <top/>
      <bottom style="hair">
        <color theme="1" tint="0.34998626667073579"/>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2" tint="-0.499984740745262"/>
      </right>
      <top style="thin">
        <color theme="1" tint="0.34998626667073579"/>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theme="0"/>
      </right>
      <top style="thin">
        <color theme="0"/>
      </top>
      <bottom style="thin">
        <color theme="0"/>
      </bottom>
      <diagonal/>
    </border>
    <border>
      <left style="thin">
        <color indexed="64"/>
      </left>
      <right style="thin">
        <color theme="1" tint="0.34998626667073579"/>
      </right>
      <top style="thin">
        <color indexed="64"/>
      </top>
      <bottom style="thin">
        <color theme="1" tint="0.34998626667073579"/>
      </bottom>
      <diagonal/>
    </border>
    <border>
      <left/>
      <right style="thin">
        <color indexed="64"/>
      </right>
      <top style="thin">
        <color indexed="64"/>
      </top>
      <bottom style="thin">
        <color theme="1" tint="0.34998626667073579"/>
      </bottom>
      <diagonal/>
    </border>
    <border>
      <left style="thin">
        <color indexed="64"/>
      </left>
      <right style="thin">
        <color theme="1" tint="0.34998626667073579"/>
      </right>
      <top style="thin">
        <color theme="1" tint="0.34998626667073579"/>
      </top>
      <bottom style="thin">
        <color indexed="64"/>
      </bottom>
      <diagonal/>
    </border>
    <border>
      <left style="thin">
        <color indexed="64"/>
      </left>
      <right style="thin">
        <color theme="1" tint="0.34998626667073579"/>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bottom>
      <diagonal/>
    </border>
    <border>
      <left/>
      <right/>
      <top style="thin">
        <color theme="1" tint="0.249977111117893"/>
      </top>
      <bottom style="thin">
        <color indexed="64"/>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style="thin">
        <color rgb="FF006600"/>
      </left>
      <right style="thin">
        <color rgb="FF006600"/>
      </right>
      <top style="thin">
        <color rgb="FF006600"/>
      </top>
      <bottom style="thin">
        <color rgb="FF006600"/>
      </bottom>
      <diagonal/>
    </border>
    <border>
      <left style="medium">
        <color rgb="FF006600"/>
      </left>
      <right style="thin">
        <color rgb="FF006600"/>
      </right>
      <top style="medium">
        <color rgb="FF006600"/>
      </top>
      <bottom style="thin">
        <color rgb="FF006600"/>
      </bottom>
      <diagonal/>
    </border>
    <border>
      <left style="thin">
        <color rgb="FF006600"/>
      </left>
      <right style="thin">
        <color rgb="FF006600"/>
      </right>
      <top style="medium">
        <color rgb="FF006600"/>
      </top>
      <bottom style="thin">
        <color rgb="FF006600"/>
      </bottom>
      <diagonal/>
    </border>
    <border>
      <left style="thin">
        <color rgb="FF006600"/>
      </left>
      <right style="medium">
        <color rgb="FF006600"/>
      </right>
      <top style="medium">
        <color rgb="FF006600"/>
      </top>
      <bottom style="thin">
        <color rgb="FF006600"/>
      </bottom>
      <diagonal/>
    </border>
    <border>
      <left style="medium">
        <color rgb="FF006600"/>
      </left>
      <right style="thin">
        <color rgb="FF006600"/>
      </right>
      <top style="thin">
        <color rgb="FF006600"/>
      </top>
      <bottom style="thin">
        <color rgb="FF006600"/>
      </bottom>
      <diagonal/>
    </border>
    <border>
      <left style="thin">
        <color rgb="FF006600"/>
      </left>
      <right style="medium">
        <color rgb="FF006600"/>
      </right>
      <top style="thin">
        <color rgb="FF006600"/>
      </top>
      <bottom style="thin">
        <color rgb="FF006600"/>
      </bottom>
      <diagonal/>
    </border>
    <border>
      <left style="medium">
        <color rgb="FF006600"/>
      </left>
      <right style="thin">
        <color rgb="FF006600"/>
      </right>
      <top style="thin">
        <color rgb="FF006600"/>
      </top>
      <bottom style="medium">
        <color rgb="FF006600"/>
      </bottom>
      <diagonal/>
    </border>
    <border>
      <left style="thin">
        <color rgb="FF006600"/>
      </left>
      <right style="thin">
        <color rgb="FF006600"/>
      </right>
      <top style="thin">
        <color rgb="FF006600"/>
      </top>
      <bottom style="medium">
        <color rgb="FF006600"/>
      </bottom>
      <diagonal/>
    </border>
    <border>
      <left style="thin">
        <color rgb="FF006600"/>
      </left>
      <right style="medium">
        <color rgb="FF006600"/>
      </right>
      <top style="thin">
        <color rgb="FF006600"/>
      </top>
      <bottom style="medium">
        <color rgb="FF006600"/>
      </bottom>
      <diagonal/>
    </border>
    <border>
      <left style="dotted">
        <color indexed="64"/>
      </left>
      <right style="dotted">
        <color indexed="64"/>
      </right>
      <top style="dotted">
        <color indexed="64"/>
      </top>
      <bottom style="dotted">
        <color indexed="64"/>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medium">
        <color rgb="FF000000"/>
      </top>
      <bottom/>
      <diagonal/>
    </border>
    <border>
      <left/>
      <right/>
      <top/>
      <bottom style="medium">
        <color indexed="64"/>
      </bottom>
      <diagonal/>
    </border>
    <border>
      <left style="medium">
        <color rgb="FF000000"/>
      </left>
      <right style="thin">
        <color rgb="FF000000"/>
      </right>
      <top style="medium">
        <color rgb="FF000000"/>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auto="1"/>
      </left>
      <right/>
      <top style="thin">
        <color theme="1" tint="0.34998626667073579"/>
      </top>
      <bottom style="thin">
        <color theme="1" tint="0.34998626667073579"/>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rgb="FF000000"/>
      </left>
      <right/>
      <top/>
      <bottom style="thin">
        <color rgb="FF000000"/>
      </bottom>
      <diagonal/>
    </border>
    <border>
      <left style="thin">
        <color indexed="64"/>
      </left>
      <right style="thin">
        <color indexed="64"/>
      </right>
      <top/>
      <bottom/>
      <diagonal/>
    </border>
    <border>
      <left style="medium">
        <color indexed="64"/>
      </left>
      <right style="thin">
        <color auto="1"/>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26">
    <xf numFmtId="0" fontId="0" fillId="0" borderId="0"/>
    <xf numFmtId="43" fontId="5" fillId="0" borderId="0" applyFont="0" applyFill="0" applyBorder="0" applyAlignment="0" applyProtection="0"/>
    <xf numFmtId="9" fontId="5" fillId="0" borderId="0" applyFont="0" applyFill="0" applyBorder="0" applyAlignment="0" applyProtection="0"/>
    <xf numFmtId="0" fontId="22" fillId="0" borderId="0"/>
    <xf numFmtId="165" fontId="28" fillId="0" borderId="0" applyFont="0" applyFill="0" applyBorder="0" applyAlignment="0" applyProtection="0"/>
    <xf numFmtId="44" fontId="5" fillId="0" borderId="0" applyFont="0" applyFill="0" applyBorder="0" applyAlignment="0" applyProtection="0"/>
    <xf numFmtId="165" fontId="5" fillId="0" borderId="0" applyFont="0" applyFill="0" applyBorder="0" applyAlignment="0" applyProtection="0"/>
    <xf numFmtId="0" fontId="117" fillId="0" borderId="0"/>
    <xf numFmtId="43" fontId="5" fillId="0" borderId="0" applyFont="0" applyFill="0" applyBorder="0" applyAlignment="0" applyProtection="0"/>
    <xf numFmtId="0" fontId="28" fillId="0" borderId="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8" fillId="0" borderId="0"/>
    <xf numFmtId="165" fontId="28" fillId="0" borderId="0" applyFont="0" applyFill="0" applyBorder="0" applyAlignment="0" applyProtection="0"/>
    <xf numFmtId="9" fontId="28" fillId="0" borderId="0" applyFont="0" applyFill="0" applyBorder="0" applyAlignment="0" applyProtection="0"/>
    <xf numFmtId="0" fontId="128" fillId="0" borderId="0" applyNumberFormat="0" applyFill="0" applyBorder="0" applyAlignment="0" applyProtection="0"/>
    <xf numFmtId="164" fontId="28" fillId="0" borderId="0" applyFont="0" applyFill="0" applyBorder="0" applyAlignment="0" applyProtection="0"/>
    <xf numFmtId="9" fontId="28"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165" fontId="5" fillId="0" borderId="0" applyFont="0" applyFill="0" applyBorder="0" applyAlignment="0" applyProtection="0"/>
  </cellStyleXfs>
  <cellXfs count="1618">
    <xf numFmtId="0" fontId="0" fillId="0" borderId="0" xfId="0"/>
    <xf numFmtId="0" fontId="7" fillId="5" borderId="3" xfId="0" applyFont="1" applyFill="1" applyBorder="1" applyAlignment="1" applyProtection="1">
      <alignment vertical="center"/>
      <protection locked="0"/>
    </xf>
    <xf numFmtId="0" fontId="7" fillId="5" borderId="3" xfId="0" applyFont="1" applyFill="1" applyBorder="1" applyAlignment="1" applyProtection="1">
      <alignment horizontal="left" vertical="center"/>
      <protection locked="0"/>
    </xf>
    <xf numFmtId="0" fontId="7" fillId="5" borderId="0" xfId="0" applyFont="1" applyFill="1" applyAlignment="1" applyProtection="1">
      <alignment vertical="center"/>
      <protection locked="0"/>
    </xf>
    <xf numFmtId="0" fontId="16" fillId="0" borderId="0" xfId="0" applyFont="1" applyAlignment="1" applyProtection="1">
      <alignment vertical="center"/>
      <protection locked="0"/>
    </xf>
    <xf numFmtId="0" fontId="16" fillId="0" borderId="0" xfId="0" applyFont="1" applyAlignment="1" applyProtection="1">
      <alignment horizontal="center" vertical="center"/>
      <protection locked="0"/>
    </xf>
    <xf numFmtId="0" fontId="28" fillId="0" borderId="0" xfId="0" applyFont="1"/>
    <xf numFmtId="0" fontId="32" fillId="0" borderId="0" xfId="0" applyFont="1"/>
    <xf numFmtId="0" fontId="15" fillId="0" borderId="0" xfId="0" applyFont="1"/>
    <xf numFmtId="0" fontId="15" fillId="0" borderId="0" xfId="0" applyFont="1" applyAlignment="1" applyProtection="1">
      <alignment horizontal="center" vertical="center"/>
      <protection locked="0"/>
    </xf>
    <xf numFmtId="0" fontId="32" fillId="0" borderId="16" xfId="0" applyFont="1" applyBorder="1"/>
    <xf numFmtId="0" fontId="48" fillId="0" borderId="0" xfId="0" applyFont="1"/>
    <xf numFmtId="0" fontId="48" fillId="0" borderId="0" xfId="0" applyFont="1" applyAlignment="1">
      <alignment vertical="center"/>
    </xf>
    <xf numFmtId="0" fontId="49" fillId="0" borderId="0" xfId="0" applyFont="1" applyAlignment="1">
      <alignment vertical="center"/>
    </xf>
    <xf numFmtId="167" fontId="49" fillId="0" borderId="0" xfId="0" applyNumberFormat="1" applyFont="1" applyAlignment="1">
      <alignment vertical="center"/>
    </xf>
    <xf numFmtId="167" fontId="49" fillId="0" borderId="0" xfId="0" applyNumberFormat="1" applyFont="1" applyAlignment="1">
      <alignment horizontal="center" vertical="center"/>
    </xf>
    <xf numFmtId="167" fontId="49" fillId="0" borderId="48" xfId="0" applyNumberFormat="1" applyFont="1" applyBorder="1" applyAlignment="1">
      <alignment horizontal="center" vertical="center"/>
    </xf>
    <xf numFmtId="0" fontId="49" fillId="0" borderId="0" xfId="0" applyFont="1" applyAlignment="1">
      <alignment horizontal="right"/>
    </xf>
    <xf numFmtId="169" fontId="8" fillId="0" borderId="8" xfId="0" applyNumberFormat="1" applyFont="1" applyBorder="1" applyAlignment="1" applyProtection="1">
      <alignment horizontal="left" vertical="center"/>
      <protection locked="0"/>
    </xf>
    <xf numFmtId="0" fontId="14" fillId="0" borderId="0" xfId="0" applyFont="1" applyAlignment="1" applyProtection="1">
      <alignment horizontal="center" vertical="center"/>
      <protection locked="0"/>
    </xf>
    <xf numFmtId="0" fontId="49" fillId="0" borderId="0" xfId="0" applyFont="1" applyAlignment="1">
      <alignment horizontal="center" vertical="center"/>
    </xf>
    <xf numFmtId="0" fontId="38" fillId="0" borderId="0" xfId="0" applyFont="1" applyProtection="1">
      <protection locked="0"/>
    </xf>
    <xf numFmtId="0" fontId="32" fillId="0" borderId="0" xfId="0" applyFont="1" applyProtection="1">
      <protection locked="0"/>
    </xf>
    <xf numFmtId="0" fontId="16" fillId="0" borderId="0" xfId="0" applyFont="1" applyProtection="1">
      <protection locked="0"/>
    </xf>
    <xf numFmtId="0" fontId="14" fillId="0" borderId="0" xfId="0" applyFont="1" applyAlignment="1" applyProtection="1">
      <alignment vertical="center"/>
      <protection locked="0"/>
    </xf>
    <xf numFmtId="0" fontId="18" fillId="0" borderId="0" xfId="0" applyFont="1" applyAlignment="1" applyProtection="1">
      <alignment vertical="center"/>
      <protection locked="0"/>
    </xf>
    <xf numFmtId="0" fontId="14" fillId="0" borderId="0" xfId="0" applyFont="1" applyProtection="1">
      <protection locked="0"/>
    </xf>
    <xf numFmtId="0" fontId="18" fillId="0" borderId="0" xfId="0" applyFont="1" applyProtection="1">
      <protection locked="0"/>
    </xf>
    <xf numFmtId="0" fontId="26" fillId="0" borderId="0" xfId="0" applyFont="1"/>
    <xf numFmtId="0" fontId="32" fillId="0" borderId="0" xfId="0" applyFont="1" applyAlignment="1" applyProtection="1">
      <alignment horizontal="center"/>
      <protection locked="0"/>
    </xf>
    <xf numFmtId="0" fontId="48" fillId="0" borderId="0" xfId="0" applyFont="1" applyAlignment="1">
      <alignment horizontal="center" vertical="center"/>
    </xf>
    <xf numFmtId="0" fontId="49" fillId="0" borderId="0" xfId="0" applyFont="1" applyAlignment="1">
      <alignment horizontal="center" vertical="center" wrapText="1"/>
    </xf>
    <xf numFmtId="0" fontId="16" fillId="0" borderId="18" xfId="0" applyFont="1" applyBorder="1" applyAlignment="1" applyProtection="1">
      <alignment horizontal="center"/>
      <protection locked="0"/>
    </xf>
    <xf numFmtId="0" fontId="8" fillId="0" borderId="0" xfId="0" applyFont="1"/>
    <xf numFmtId="0" fontId="8" fillId="0" borderId="16" xfId="0" applyFont="1" applyBorder="1"/>
    <xf numFmtId="0" fontId="8" fillId="0" borderId="0" xfId="0" applyFont="1" applyAlignment="1">
      <alignment horizontal="right"/>
    </xf>
    <xf numFmtId="0" fontId="8" fillId="0" borderId="17" xfId="0" applyFont="1" applyBorder="1"/>
    <xf numFmtId="0" fontId="16" fillId="0" borderId="14" xfId="0" applyFont="1" applyBorder="1"/>
    <xf numFmtId="0" fontId="16" fillId="0" borderId="17" xfId="0" applyFont="1" applyBorder="1"/>
    <xf numFmtId="0" fontId="16" fillId="0" borderId="19" xfId="0" applyFont="1" applyBorder="1"/>
    <xf numFmtId="0" fontId="16" fillId="0" borderId="67" xfId="0" applyFont="1" applyBorder="1"/>
    <xf numFmtId="0" fontId="32" fillId="0" borderId="67" xfId="0" applyFont="1" applyBorder="1"/>
    <xf numFmtId="0" fontId="26" fillId="0" borderId="67" xfId="0" applyFont="1" applyBorder="1"/>
    <xf numFmtId="0" fontId="32" fillId="0" borderId="40" xfId="0" applyFont="1" applyBorder="1"/>
    <xf numFmtId="0" fontId="26" fillId="0" borderId="16" xfId="0" applyFont="1" applyBorder="1"/>
    <xf numFmtId="0" fontId="32" fillId="0" borderId="68" xfId="0" applyFont="1" applyBorder="1"/>
    <xf numFmtId="0" fontId="26" fillId="0" borderId="28" xfId="0" applyFont="1" applyBorder="1"/>
    <xf numFmtId="0" fontId="26" fillId="0" borderId="69" xfId="0" applyFont="1" applyBorder="1"/>
    <xf numFmtId="0" fontId="55" fillId="5" borderId="28" xfId="0" applyFont="1" applyFill="1" applyBorder="1"/>
    <xf numFmtId="0" fontId="55" fillId="5" borderId="0" xfId="0" applyFont="1" applyFill="1"/>
    <xf numFmtId="0" fontId="55" fillId="5" borderId="14" xfId="0" applyFont="1" applyFill="1" applyBorder="1"/>
    <xf numFmtId="0" fontId="55" fillId="5" borderId="17" xfId="0" applyFont="1" applyFill="1" applyBorder="1"/>
    <xf numFmtId="0" fontId="55" fillId="5" borderId="23" xfId="0" applyFont="1" applyFill="1" applyBorder="1"/>
    <xf numFmtId="0" fontId="39" fillId="5" borderId="17" xfId="0" applyFont="1" applyFill="1" applyBorder="1"/>
    <xf numFmtId="0" fontId="39" fillId="5" borderId="23" xfId="0" applyFont="1" applyFill="1" applyBorder="1"/>
    <xf numFmtId="0" fontId="7" fillId="5" borderId="67" xfId="0" applyFont="1" applyFill="1" applyBorder="1" applyAlignment="1">
      <alignment horizontal="left"/>
    </xf>
    <xf numFmtId="0" fontId="32" fillId="5" borderId="67" xfId="0" applyFont="1" applyFill="1" applyBorder="1" applyAlignment="1">
      <alignment horizontal="left"/>
    </xf>
    <xf numFmtId="0" fontId="32" fillId="5" borderId="41" xfId="0" applyFont="1" applyFill="1" applyBorder="1" applyAlignment="1">
      <alignment horizontal="left"/>
    </xf>
    <xf numFmtId="0" fontId="26" fillId="0" borderId="0" xfId="0" applyFont="1" applyAlignment="1">
      <alignment wrapText="1"/>
    </xf>
    <xf numFmtId="0" fontId="39" fillId="5" borderId="41" xfId="0" applyFont="1" applyFill="1" applyBorder="1"/>
    <xf numFmtId="0" fontId="55" fillId="5" borderId="19" xfId="0" applyFont="1" applyFill="1" applyBorder="1"/>
    <xf numFmtId="0" fontId="55" fillId="5" borderId="67" xfId="0" applyFont="1" applyFill="1" applyBorder="1"/>
    <xf numFmtId="0" fontId="39" fillId="5" borderId="67" xfId="0" applyFont="1" applyFill="1" applyBorder="1"/>
    <xf numFmtId="0" fontId="47" fillId="0" borderId="0" xfId="0" applyFont="1"/>
    <xf numFmtId="0" fontId="32" fillId="0" borderId="0" xfId="0" applyFont="1" applyAlignment="1">
      <alignment vertical="center" wrapText="1"/>
    </xf>
    <xf numFmtId="0" fontId="8" fillId="0" borderId="0" xfId="0" applyFont="1" applyAlignment="1">
      <alignment horizontal="justify" vertical="center"/>
    </xf>
    <xf numFmtId="0" fontId="32" fillId="0" borderId="41" xfId="0" applyFont="1" applyBorder="1"/>
    <xf numFmtId="0" fontId="25" fillId="0" borderId="67" xfId="0" applyFont="1" applyBorder="1"/>
    <xf numFmtId="0" fontId="57" fillId="0" borderId="0" xfId="0" applyFont="1" applyAlignment="1">
      <alignment horizontal="right" vertical="top" wrapText="1"/>
    </xf>
    <xf numFmtId="0" fontId="8" fillId="0" borderId="23" xfId="0" applyFont="1" applyBorder="1"/>
    <xf numFmtId="0" fontId="57" fillId="0" borderId="0" xfId="0" applyFont="1"/>
    <xf numFmtId="0" fontId="57" fillId="0" borderId="19" xfId="0" applyFont="1" applyBorder="1" applyAlignment="1">
      <alignment wrapText="1"/>
    </xf>
    <xf numFmtId="0" fontId="58" fillId="0" borderId="67" xfId="0" applyFont="1" applyBorder="1" applyAlignment="1">
      <alignment vertical="center"/>
    </xf>
    <xf numFmtId="0" fontId="57" fillId="0" borderId="67" xfId="0" applyFont="1" applyBorder="1" applyAlignment="1">
      <alignment wrapText="1"/>
    </xf>
    <xf numFmtId="0" fontId="57" fillId="0" borderId="41" xfId="0" applyFont="1" applyBorder="1" applyAlignment="1">
      <alignment wrapText="1"/>
    </xf>
    <xf numFmtId="0" fontId="57" fillId="0" borderId="28" xfId="0" applyFont="1" applyBorder="1"/>
    <xf numFmtId="0" fontId="57" fillId="0" borderId="69" xfId="0" applyFont="1" applyBorder="1"/>
    <xf numFmtId="0" fontId="58" fillId="0" borderId="0" xfId="0" applyFont="1"/>
    <xf numFmtId="0" fontId="57" fillId="0" borderId="40" xfId="0" applyFont="1" applyBorder="1"/>
    <xf numFmtId="0" fontId="57" fillId="0" borderId="16" xfId="0" applyFont="1" applyBorder="1"/>
    <xf numFmtId="0" fontId="57" fillId="0" borderId="68" xfId="0" applyFont="1" applyBorder="1"/>
    <xf numFmtId="0" fontId="59" fillId="5" borderId="19" xfId="0" applyFont="1" applyFill="1" applyBorder="1" applyAlignment="1">
      <alignment horizontal="left"/>
    </xf>
    <xf numFmtId="0" fontId="26" fillId="0" borderId="40" xfId="0" applyFont="1" applyBorder="1"/>
    <xf numFmtId="0" fontId="26" fillId="0" borderId="68" xfId="0" applyFont="1" applyBorder="1"/>
    <xf numFmtId="0" fontId="57" fillId="0" borderId="0" xfId="0" quotePrefix="1" applyFont="1" applyAlignment="1">
      <alignment horizontal="center" vertical="top"/>
    </xf>
    <xf numFmtId="0" fontId="57" fillId="0" borderId="0" xfId="0" applyFont="1" applyAlignment="1">
      <alignment horizontal="left" vertical="center" wrapText="1"/>
    </xf>
    <xf numFmtId="0" fontId="7" fillId="5" borderId="0" xfId="0" applyFont="1" applyFill="1" applyAlignment="1" applyProtection="1">
      <alignment horizontal="left" vertical="center"/>
      <protection locked="0"/>
    </xf>
    <xf numFmtId="0" fontId="13" fillId="5" borderId="0" xfId="0" applyFont="1" applyFill="1" applyAlignment="1" applyProtection="1">
      <alignment horizontal="left" vertical="center"/>
      <protection locked="0"/>
    </xf>
    <xf numFmtId="0" fontId="8" fillId="0" borderId="0" xfId="0" applyFont="1" applyAlignment="1" applyProtection="1">
      <alignment horizontal="left" vertical="center"/>
      <protection locked="0"/>
    </xf>
    <xf numFmtId="0" fontId="57" fillId="0" borderId="0" xfId="0" quotePrefix="1" applyFont="1" applyAlignment="1">
      <alignment horizontal="right" vertical="center"/>
    </xf>
    <xf numFmtId="0" fontId="20" fillId="0" borderId="0" xfId="0" applyFont="1"/>
    <xf numFmtId="167" fontId="8" fillId="0" borderId="0" xfId="0" applyNumberFormat="1" applyFont="1" applyAlignment="1" applyProtection="1">
      <alignment vertical="center"/>
      <protection locked="0"/>
    </xf>
    <xf numFmtId="167" fontId="8" fillId="0" borderId="0" xfId="0" applyNumberFormat="1" applyFont="1" applyAlignment="1" applyProtection="1">
      <alignment horizontal="center" vertical="center"/>
      <protection locked="0"/>
    </xf>
    <xf numFmtId="0" fontId="7" fillId="5" borderId="77" xfId="0" applyFont="1" applyFill="1" applyBorder="1" applyAlignment="1" applyProtection="1">
      <alignment horizontal="center" vertical="center"/>
      <protection locked="0"/>
    </xf>
    <xf numFmtId="0" fontId="8" fillId="0" borderId="0" xfId="0" applyFont="1" applyAlignment="1" applyProtection="1">
      <alignment vertical="center"/>
      <protection locked="0"/>
    </xf>
    <xf numFmtId="0" fontId="57" fillId="0" borderId="0" xfId="0" applyFont="1" applyAlignment="1">
      <alignment horizontal="center" vertical="top" wrapText="1"/>
    </xf>
    <xf numFmtId="181" fontId="57" fillId="0" borderId="0" xfId="1" applyNumberFormat="1" applyFont="1" applyBorder="1" applyAlignment="1">
      <alignment horizontal="center" vertical="top" wrapText="1"/>
    </xf>
    <xf numFmtId="0" fontId="58" fillId="0" borderId="0" xfId="0" applyFont="1" applyAlignment="1">
      <alignment horizontal="right" vertical="top" wrapText="1"/>
    </xf>
    <xf numFmtId="0" fontId="55" fillId="5" borderId="14" xfId="0" applyFont="1" applyFill="1" applyBorder="1" applyAlignment="1">
      <alignment horizontal="left"/>
    </xf>
    <xf numFmtId="0" fontId="55" fillId="5" borderId="23" xfId="0" applyFont="1" applyFill="1" applyBorder="1" applyAlignment="1">
      <alignment horizontal="left"/>
    </xf>
    <xf numFmtId="0" fontId="58" fillId="0" borderId="0" xfId="0" applyFont="1" applyAlignment="1">
      <alignment horizontal="center" vertical="top" wrapText="1"/>
    </xf>
    <xf numFmtId="0" fontId="32" fillId="0" borderId="0" xfId="0" applyFont="1" applyAlignment="1">
      <alignment horizontal="center"/>
    </xf>
    <xf numFmtId="0" fontId="10" fillId="5" borderId="0" xfId="0" applyFont="1" applyFill="1"/>
    <xf numFmtId="167" fontId="8" fillId="0" borderId="0" xfId="0" applyNumberFormat="1" applyFont="1" applyAlignment="1">
      <alignment vertical="center"/>
    </xf>
    <xf numFmtId="0" fontId="10" fillId="5" borderId="0" xfId="0" applyFont="1" applyFill="1" applyAlignment="1">
      <alignment horizontal="center"/>
    </xf>
    <xf numFmtId="0" fontId="18" fillId="0" borderId="0" xfId="0" applyFont="1"/>
    <xf numFmtId="0" fontId="18" fillId="0" borderId="0" xfId="0" applyFont="1" applyAlignment="1">
      <alignment horizontal="center"/>
    </xf>
    <xf numFmtId="0" fontId="18" fillId="0" borderId="0" xfId="0" applyFont="1" applyAlignment="1">
      <alignment vertical="center"/>
    </xf>
    <xf numFmtId="0" fontId="18" fillId="0" borderId="18" xfId="0" applyFont="1" applyBorder="1"/>
    <xf numFmtId="0" fontId="18" fillId="0" borderId="18" xfId="0" applyFont="1" applyBorder="1" applyAlignment="1">
      <alignment horizontal="center"/>
    </xf>
    <xf numFmtId="170" fontId="18" fillId="0" borderId="18" xfId="0" applyNumberFormat="1" applyFont="1" applyBorder="1" applyAlignment="1">
      <alignment horizontal="center"/>
    </xf>
    <xf numFmtId="0" fontId="18" fillId="0" borderId="0" xfId="0" applyFont="1" applyAlignment="1">
      <alignment horizontal="center" vertical="center"/>
    </xf>
    <xf numFmtId="43" fontId="18" fillId="0" borderId="0" xfId="1" applyFont="1" applyAlignment="1" applyProtection="1">
      <alignment vertical="center"/>
    </xf>
    <xf numFmtId="0" fontId="21" fillId="0" borderId="0" xfId="0" applyFont="1" applyAlignment="1">
      <alignment vertical="center"/>
    </xf>
    <xf numFmtId="170" fontId="36" fillId="0" borderId="0" xfId="1" applyNumberFormat="1" applyFont="1" applyAlignment="1" applyProtection="1">
      <alignment vertical="center"/>
    </xf>
    <xf numFmtId="43" fontId="36" fillId="0" borderId="0" xfId="1" applyFont="1" applyAlignment="1" applyProtection="1">
      <alignment vertical="center"/>
    </xf>
    <xf numFmtId="0" fontId="20" fillId="0" borderId="0" xfId="0" applyFont="1" applyAlignment="1">
      <alignment vertical="center"/>
    </xf>
    <xf numFmtId="0" fontId="7" fillId="5" borderId="3" xfId="0" applyFont="1" applyFill="1" applyBorder="1" applyAlignment="1">
      <alignment vertical="center"/>
    </xf>
    <xf numFmtId="0" fontId="7" fillId="5" borderId="6" xfId="0" applyFont="1" applyFill="1" applyBorder="1" applyAlignment="1">
      <alignment vertical="center"/>
    </xf>
    <xf numFmtId="0" fontId="16" fillId="0" borderId="0" xfId="0" applyFont="1" applyAlignment="1">
      <alignment vertical="center"/>
    </xf>
    <xf numFmtId="0" fontId="13" fillId="5" borderId="6" xfId="0" applyFont="1" applyFill="1" applyBorder="1" applyAlignment="1">
      <alignment vertical="center"/>
    </xf>
    <xf numFmtId="0" fontId="8" fillId="0" borderId="9" xfId="0" applyFont="1" applyBorder="1" applyAlignment="1">
      <alignment vertical="center"/>
    </xf>
    <xf numFmtId="0" fontId="14" fillId="0" borderId="0" xfId="0" applyFont="1"/>
    <xf numFmtId="0" fontId="14" fillId="0" borderId="0" xfId="0" applyFont="1" applyAlignment="1">
      <alignment vertical="center"/>
    </xf>
    <xf numFmtId="170" fontId="14" fillId="0" borderId="0" xfId="1" applyNumberFormat="1" applyFont="1" applyAlignment="1" applyProtection="1">
      <alignment vertical="center"/>
    </xf>
    <xf numFmtId="0" fontId="15" fillId="0" borderId="0" xfId="0" applyFont="1" applyAlignment="1">
      <alignment vertical="center"/>
    </xf>
    <xf numFmtId="0" fontId="13" fillId="5" borderId="3" xfId="0" applyFont="1" applyFill="1" applyBorder="1" applyAlignment="1">
      <alignment vertical="center"/>
    </xf>
    <xf numFmtId="170" fontId="8" fillId="0" borderId="1" xfId="1" applyNumberFormat="1" applyFont="1" applyBorder="1" applyAlignment="1" applyProtection="1">
      <alignment horizontal="center" vertical="center"/>
    </xf>
    <xf numFmtId="0" fontId="14" fillId="0" borderId="3" xfId="0" applyFont="1" applyBorder="1"/>
    <xf numFmtId="0" fontId="27" fillId="0" borderId="0" xfId="3" applyFont="1" applyAlignment="1">
      <alignment vertical="center"/>
    </xf>
    <xf numFmtId="0" fontId="10" fillId="5" borderId="0" xfId="0" applyFont="1" applyFill="1" applyAlignment="1">
      <alignment vertical="center"/>
    </xf>
    <xf numFmtId="0" fontId="37" fillId="5" borderId="0" xfId="0" applyFont="1" applyFill="1" applyAlignment="1">
      <alignment vertical="center"/>
    </xf>
    <xf numFmtId="0" fontId="32" fillId="0" borderId="0" xfId="0" applyFont="1" applyAlignment="1">
      <alignment vertical="center"/>
    </xf>
    <xf numFmtId="0" fontId="27" fillId="0" borderId="0" xfId="0" applyFont="1" applyAlignment="1">
      <alignment vertical="center"/>
    </xf>
    <xf numFmtId="0" fontId="14" fillId="0" borderId="16" xfId="0" applyFont="1" applyBorder="1" applyAlignment="1">
      <alignment vertical="center"/>
    </xf>
    <xf numFmtId="0" fontId="0" fillId="0" borderId="0" xfId="0" applyAlignment="1">
      <alignment horizontal="center"/>
    </xf>
    <xf numFmtId="43" fontId="0" fillId="0" borderId="0" xfId="1" applyFont="1" applyProtection="1"/>
    <xf numFmtId="0" fontId="52" fillId="0" borderId="0" xfId="0" applyFont="1"/>
    <xf numFmtId="167" fontId="14" fillId="0" borderId="0" xfId="0" applyNumberFormat="1" applyFont="1"/>
    <xf numFmtId="0" fontId="28" fillId="0" borderId="0" xfId="0" applyFont="1" applyAlignment="1">
      <alignment horizontal="center"/>
    </xf>
    <xf numFmtId="0" fontId="28" fillId="0" borderId="0" xfId="0" applyFont="1" applyAlignment="1">
      <alignment vertical="center"/>
    </xf>
    <xf numFmtId="0" fontId="28" fillId="0" borderId="0" xfId="0" applyFont="1" applyAlignment="1">
      <alignment horizontal="center" vertical="center"/>
    </xf>
    <xf numFmtId="0" fontId="53" fillId="0" borderId="0" xfId="0" applyFont="1"/>
    <xf numFmtId="0" fontId="23" fillId="0" borderId="0" xfId="0" applyFont="1"/>
    <xf numFmtId="0" fontId="30" fillId="0" borderId="0" xfId="0" applyFont="1"/>
    <xf numFmtId="0" fontId="23" fillId="0" borderId="0" xfId="0" applyFont="1" applyAlignment="1">
      <alignment vertical="center"/>
    </xf>
    <xf numFmtId="0" fontId="23" fillId="0" borderId="0" xfId="0" applyFont="1" applyAlignment="1">
      <alignment horizontal="center" vertical="center"/>
    </xf>
    <xf numFmtId="43" fontId="23" fillId="0" borderId="0" xfId="1" applyFont="1" applyAlignment="1" applyProtection="1">
      <alignment vertical="center"/>
    </xf>
    <xf numFmtId="0" fontId="17" fillId="0" borderId="0" xfId="0" applyFont="1" applyAlignment="1">
      <alignment vertical="center"/>
    </xf>
    <xf numFmtId="43" fontId="30" fillId="0" borderId="0" xfId="1" applyFont="1" applyAlignment="1" applyProtection="1">
      <alignment vertical="center"/>
    </xf>
    <xf numFmtId="0" fontId="13" fillId="5" borderId="3" xfId="0" applyFont="1" applyFill="1" applyBorder="1" applyAlignment="1">
      <alignment horizontal="left" vertical="center"/>
    </xf>
    <xf numFmtId="0" fontId="61" fillId="0" borderId="0" xfId="0" applyFont="1" applyAlignment="1">
      <alignment vertical="center"/>
    </xf>
    <xf numFmtId="0" fontId="61" fillId="0" borderId="0" xfId="0" applyFont="1"/>
    <xf numFmtId="0" fontId="63" fillId="0" borderId="0" xfId="0" applyFont="1"/>
    <xf numFmtId="0" fontId="62" fillId="0" borderId="0" xfId="0" applyFont="1" applyAlignment="1">
      <alignment vertical="center"/>
    </xf>
    <xf numFmtId="0" fontId="62" fillId="0" borderId="0" xfId="0" applyFont="1"/>
    <xf numFmtId="177" fontId="62" fillId="0" borderId="0" xfId="0" applyNumberFormat="1" applyFont="1"/>
    <xf numFmtId="0" fontId="9" fillId="0" borderId="0" xfId="0" applyFont="1" applyAlignment="1">
      <alignment vertical="center"/>
    </xf>
    <xf numFmtId="0" fontId="9" fillId="0" borderId="0" xfId="0" applyFont="1"/>
    <xf numFmtId="0" fontId="16" fillId="0" borderId="0" xfId="0" applyFont="1" applyAlignment="1">
      <alignment horizontal="center" vertical="center"/>
    </xf>
    <xf numFmtId="0" fontId="12" fillId="0" borderId="0" xfId="0" applyFont="1" applyAlignment="1">
      <alignment vertical="center"/>
    </xf>
    <xf numFmtId="0" fontId="12" fillId="0" borderId="0" xfId="0" applyFont="1"/>
    <xf numFmtId="0" fontId="54" fillId="0" borderId="0" xfId="0" applyFont="1"/>
    <xf numFmtId="0" fontId="23" fillId="0" borderId="0" xfId="0" applyFont="1" applyAlignment="1">
      <alignment horizontal="left" vertical="center"/>
    </xf>
    <xf numFmtId="0" fontId="9" fillId="0" borderId="0" xfId="0" applyFont="1" applyAlignment="1">
      <alignment horizontal="center" vertical="center"/>
    </xf>
    <xf numFmtId="178" fontId="9" fillId="0" borderId="0" xfId="0" applyNumberFormat="1" applyFont="1" applyAlignment="1">
      <alignment vertical="center"/>
    </xf>
    <xf numFmtId="0" fontId="21" fillId="5" borderId="0" xfId="0" applyFont="1" applyFill="1" applyAlignment="1">
      <alignment vertical="center"/>
    </xf>
    <xf numFmtId="0" fontId="21"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23" fillId="0" borderId="0" xfId="3" applyFont="1" applyAlignment="1">
      <alignment vertical="center"/>
    </xf>
    <xf numFmtId="0" fontId="10" fillId="5" borderId="0" xfId="0" applyFont="1" applyFill="1" applyAlignment="1">
      <alignment horizontal="left" vertical="center"/>
    </xf>
    <xf numFmtId="0" fontId="60" fillId="5" borderId="0" xfId="0" applyFont="1" applyFill="1" applyAlignment="1">
      <alignment horizontal="left" vertical="center"/>
    </xf>
    <xf numFmtId="0" fontId="38" fillId="0" borderId="0" xfId="0" applyFont="1" applyAlignment="1">
      <alignment horizontal="left" vertical="center"/>
    </xf>
    <xf numFmtId="178" fontId="6" fillId="0" borderId="0" xfId="0" applyNumberFormat="1" applyFont="1"/>
    <xf numFmtId="178" fontId="9" fillId="0" borderId="0" xfId="0" applyNumberFormat="1" applyFont="1"/>
    <xf numFmtId="0" fontId="14" fillId="0" borderId="0" xfId="0" applyFont="1" applyAlignment="1">
      <alignment horizontal="center"/>
    </xf>
    <xf numFmtId="0" fontId="14" fillId="0" borderId="17" xfId="0" applyFont="1" applyBorder="1"/>
    <xf numFmtId="0" fontId="10" fillId="5" borderId="77" xfId="0" applyFont="1" applyFill="1" applyBorder="1" applyAlignment="1">
      <alignment horizontal="center" vertical="center"/>
    </xf>
    <xf numFmtId="167" fontId="15" fillId="0" borderId="0" xfId="0" applyNumberFormat="1" applyFont="1"/>
    <xf numFmtId="0" fontId="10" fillId="5" borderId="77" xfId="0" applyFont="1" applyFill="1" applyBorder="1"/>
    <xf numFmtId="0" fontId="10" fillId="5" borderId="0" xfId="0" applyFont="1" applyFill="1" applyAlignment="1">
      <alignment horizontal="center" vertical="center"/>
    </xf>
    <xf numFmtId="167" fontId="15" fillId="0" borderId="0" xfId="0" applyNumberFormat="1" applyFont="1" applyAlignment="1">
      <alignment vertical="center"/>
    </xf>
    <xf numFmtId="0" fontId="34" fillId="0" borderId="0" xfId="0" applyFont="1" applyAlignment="1">
      <alignment vertical="center"/>
    </xf>
    <xf numFmtId="0" fontId="34" fillId="0" borderId="0" xfId="0" applyFont="1" applyAlignment="1">
      <alignment horizontal="center" vertical="center"/>
    </xf>
    <xf numFmtId="0" fontId="35" fillId="0" borderId="0" xfId="0" applyFont="1" applyAlignment="1">
      <alignment vertical="center"/>
    </xf>
    <xf numFmtId="0" fontId="35" fillId="0" borderId="0" xfId="0" applyFont="1" applyAlignment="1">
      <alignment horizontal="center" vertical="center"/>
    </xf>
    <xf numFmtId="0" fontId="64" fillId="0" borderId="0" xfId="0" applyFont="1" applyAlignment="1">
      <alignment vertical="center"/>
    </xf>
    <xf numFmtId="0" fontId="64" fillId="0" borderId="0" xfId="0" applyFont="1"/>
    <xf numFmtId="168" fontId="64" fillId="0" borderId="0" xfId="0" applyNumberFormat="1" applyFont="1" applyAlignment="1">
      <alignment horizontal="center"/>
    </xf>
    <xf numFmtId="10" fontId="64" fillId="0" borderId="0" xfId="0" applyNumberFormat="1" applyFont="1" applyAlignment="1">
      <alignment horizontal="center"/>
    </xf>
    <xf numFmtId="49" fontId="64" fillId="0" borderId="0" xfId="0" applyNumberFormat="1" applyFont="1" applyAlignment="1">
      <alignment horizontal="center"/>
    </xf>
    <xf numFmtId="0" fontId="8" fillId="0" borderId="8" xfId="0" applyFont="1" applyBorder="1" applyAlignment="1">
      <alignment horizontal="right" vertical="center"/>
    </xf>
    <xf numFmtId="0" fontId="8" fillId="0" borderId="8" xfId="0" applyFont="1" applyBorder="1"/>
    <xf numFmtId="0" fontId="14" fillId="0" borderId="0" xfId="0" applyFont="1" applyAlignment="1">
      <alignment horizontal="center" vertical="center"/>
    </xf>
    <xf numFmtId="0" fontId="14" fillId="0" borderId="55" xfId="0" applyFont="1" applyBorder="1" applyAlignment="1">
      <alignment vertical="center"/>
    </xf>
    <xf numFmtId="0" fontId="32" fillId="0" borderId="13" xfId="0" applyFont="1" applyBorder="1" applyAlignment="1">
      <alignment vertical="center"/>
    </xf>
    <xf numFmtId="43" fontId="32" fillId="0" borderId="0" xfId="1" applyFont="1" applyAlignment="1" applyProtection="1">
      <alignment vertical="center"/>
    </xf>
    <xf numFmtId="0" fontId="10" fillId="5" borderId="3" xfId="0" applyFont="1" applyFill="1" applyBorder="1" applyAlignment="1">
      <alignment horizontal="left" vertical="center"/>
    </xf>
    <xf numFmtId="0" fontId="37" fillId="5" borderId="3" xfId="0" applyFont="1" applyFill="1" applyBorder="1" applyAlignment="1">
      <alignment vertical="center"/>
    </xf>
    <xf numFmtId="0" fontId="15" fillId="0" borderId="0" xfId="0" applyFont="1" applyAlignment="1">
      <alignment horizontal="center" vertical="center"/>
    </xf>
    <xf numFmtId="169" fontId="33" fillId="0" borderId="5" xfId="0" applyNumberFormat="1" applyFont="1" applyBorder="1" applyAlignment="1">
      <alignment vertical="center"/>
    </xf>
    <xf numFmtId="0" fontId="15" fillId="0" borderId="9" xfId="0" applyFont="1" applyBorder="1" applyAlignment="1">
      <alignment vertical="center"/>
    </xf>
    <xf numFmtId="0" fontId="38" fillId="0" borderId="0" xfId="0" applyFont="1" applyAlignment="1">
      <alignment vertical="center"/>
    </xf>
    <xf numFmtId="0" fontId="21" fillId="5" borderId="6" xfId="0" applyFont="1" applyFill="1" applyBorder="1" applyAlignment="1">
      <alignment horizontal="left" vertical="center"/>
    </xf>
    <xf numFmtId="0" fontId="39" fillId="5" borderId="6" xfId="0" applyFont="1" applyFill="1" applyBorder="1" applyAlignment="1">
      <alignment vertical="center"/>
    </xf>
    <xf numFmtId="9" fontId="18" fillId="0" borderId="5" xfId="2" applyFont="1" applyBorder="1" applyAlignment="1" applyProtection="1">
      <alignment horizontal="center" vertical="center"/>
    </xf>
    <xf numFmtId="0" fontId="3" fillId="0" borderId="0" xfId="0" applyFont="1"/>
    <xf numFmtId="0" fontId="3" fillId="0" borderId="0" xfId="0" applyFont="1" applyAlignment="1">
      <alignment vertical="center"/>
    </xf>
    <xf numFmtId="9" fontId="33" fillId="0" borderId="5" xfId="2" applyFont="1" applyBorder="1" applyAlignment="1" applyProtection="1">
      <alignment horizontal="center" vertical="center"/>
    </xf>
    <xf numFmtId="0" fontId="18" fillId="0" borderId="0" xfId="0" applyFont="1" applyAlignment="1">
      <alignment horizontal="left" vertical="center"/>
    </xf>
    <xf numFmtId="0" fontId="32" fillId="0" borderId="3" xfId="0" applyFont="1" applyBorder="1" applyAlignment="1">
      <alignment vertical="center"/>
    </xf>
    <xf numFmtId="169" fontId="14" fillId="0" borderId="0" xfId="0" applyNumberFormat="1" applyFont="1" applyAlignment="1">
      <alignment horizontal="left" vertical="center"/>
    </xf>
    <xf numFmtId="0" fontId="21" fillId="5" borderId="6" xfId="0" applyFont="1" applyFill="1" applyBorder="1" applyAlignment="1">
      <alignment vertical="center"/>
    </xf>
    <xf numFmtId="171" fontId="14" fillId="0" borderId="5" xfId="0" applyNumberFormat="1" applyFont="1" applyBorder="1" applyAlignment="1">
      <alignment horizontal="center" vertical="center"/>
    </xf>
    <xf numFmtId="0" fontId="14" fillId="0" borderId="9" xfId="0" applyFont="1" applyBorder="1" applyAlignment="1">
      <alignment vertical="center"/>
    </xf>
    <xf numFmtId="0" fontId="21" fillId="5" borderId="56" xfId="0" applyFont="1" applyFill="1" applyBorder="1" applyAlignment="1">
      <alignment vertical="center"/>
    </xf>
    <xf numFmtId="0" fontId="39" fillId="5" borderId="56" xfId="0" applyFont="1" applyFill="1" applyBorder="1" applyAlignment="1">
      <alignment vertical="center"/>
    </xf>
    <xf numFmtId="171" fontId="14" fillId="0" borderId="7" xfId="0" applyNumberFormat="1" applyFont="1" applyBorder="1" applyAlignment="1">
      <alignment horizontal="center" vertical="center"/>
    </xf>
    <xf numFmtId="0" fontId="21" fillId="5" borderId="56" xfId="0" applyFont="1" applyFill="1" applyBorder="1" applyAlignment="1">
      <alignment horizontal="left" vertical="center"/>
    </xf>
    <xf numFmtId="0" fontId="18" fillId="0" borderId="56" xfId="0" applyFont="1" applyBorder="1" applyAlignment="1">
      <alignment horizontal="left" vertical="center"/>
    </xf>
    <xf numFmtId="0" fontId="32" fillId="0" borderId="56" xfId="0" applyFont="1" applyBorder="1" applyAlignment="1">
      <alignment vertical="center"/>
    </xf>
    <xf numFmtId="9" fontId="15" fillId="0" borderId="7" xfId="0" applyNumberFormat="1" applyFont="1" applyBorder="1" applyAlignment="1">
      <alignment horizontal="center" vertical="center"/>
    </xf>
    <xf numFmtId="0" fontId="14" fillId="0" borderId="5" xfId="0" applyFont="1" applyBorder="1" applyAlignment="1">
      <alignment vertical="center"/>
    </xf>
    <xf numFmtId="0" fontId="15" fillId="0" borderId="5" xfId="0" applyFont="1" applyBorder="1" applyAlignment="1">
      <alignment vertical="center"/>
    </xf>
    <xf numFmtId="178" fontId="0" fillId="0" borderId="0" xfId="0" applyNumberFormat="1"/>
    <xf numFmtId="0" fontId="38" fillId="5" borderId="0" xfId="0" applyFont="1" applyFill="1" applyAlignment="1">
      <alignment vertical="center"/>
    </xf>
    <xf numFmtId="0" fontId="56" fillId="0" borderId="0" xfId="0" applyFont="1" applyAlignment="1">
      <alignment vertical="center"/>
    </xf>
    <xf numFmtId="0" fontId="38" fillId="0" borderId="0" xfId="0" applyFont="1" applyAlignment="1">
      <alignment horizontal="center" vertical="center"/>
    </xf>
    <xf numFmtId="43" fontId="38" fillId="0" borderId="0" xfId="1" applyFont="1" applyBorder="1" applyAlignment="1" applyProtection="1">
      <alignment vertical="center"/>
    </xf>
    <xf numFmtId="172" fontId="38" fillId="0" borderId="0" xfId="0" applyNumberFormat="1" applyFont="1" applyAlignment="1">
      <alignment horizontal="center" vertical="center"/>
    </xf>
    <xf numFmtId="0" fontId="32" fillId="0" borderId="0" xfId="0" applyFont="1" applyAlignment="1">
      <alignment horizontal="center" vertical="center"/>
    </xf>
    <xf numFmtId="0" fontId="43" fillId="0" borderId="0" xfId="0" applyFont="1" applyAlignment="1">
      <alignment vertical="center"/>
    </xf>
    <xf numFmtId="0" fontId="32" fillId="0" borderId="17" xfId="0" applyFont="1" applyBorder="1" applyAlignment="1">
      <alignment vertical="center"/>
    </xf>
    <xf numFmtId="0" fontId="32" fillId="0" borderId="16" xfId="0" applyFont="1" applyBorder="1" applyAlignment="1">
      <alignment vertical="center"/>
    </xf>
    <xf numFmtId="43" fontId="32" fillId="0" borderId="0" xfId="1" applyFont="1" applyProtection="1"/>
    <xf numFmtId="173" fontId="6" fillId="0" borderId="0" xfId="0" applyNumberFormat="1" applyFont="1"/>
    <xf numFmtId="43" fontId="4" fillId="0" borderId="0" xfId="1" applyFont="1" applyProtection="1"/>
    <xf numFmtId="167" fontId="14" fillId="0" borderId="0" xfId="0" applyNumberFormat="1" applyFont="1" applyAlignment="1">
      <alignment vertical="center"/>
    </xf>
    <xf numFmtId="0" fontId="10" fillId="5" borderId="77" xfId="0" applyFont="1" applyFill="1" applyBorder="1" applyAlignment="1">
      <alignment vertical="center"/>
    </xf>
    <xf numFmtId="0" fontId="40" fillId="0" borderId="0" xfId="0" applyFont="1" applyAlignment="1">
      <alignment vertical="center"/>
    </xf>
    <xf numFmtId="0" fontId="9" fillId="0" borderId="0" xfId="0" applyFont="1" applyAlignment="1">
      <alignment horizontal="center"/>
    </xf>
    <xf numFmtId="0" fontId="15" fillId="5" borderId="0" xfId="0" applyFont="1" applyFill="1" applyAlignment="1">
      <alignment vertical="center"/>
    </xf>
    <xf numFmtId="178" fontId="15" fillId="0" borderId="0" xfId="0" applyNumberFormat="1" applyFont="1" applyAlignment="1">
      <alignment vertical="center"/>
    </xf>
    <xf numFmtId="0" fontId="10" fillId="5" borderId="78" xfId="0" applyFont="1" applyFill="1" applyBorder="1" applyAlignment="1">
      <alignment vertical="center"/>
    </xf>
    <xf numFmtId="0" fontId="50" fillId="0" borderId="0" xfId="3" applyFont="1" applyAlignment="1">
      <alignment vertical="center"/>
    </xf>
    <xf numFmtId="43" fontId="15" fillId="0" borderId="0" xfId="1" applyFont="1" applyBorder="1" applyAlignment="1" applyProtection="1">
      <alignment vertical="center"/>
    </xf>
    <xf numFmtId="0" fontId="14" fillId="0" borderId="17" xfId="0" applyFont="1" applyBorder="1" applyAlignment="1">
      <alignment vertical="center"/>
    </xf>
    <xf numFmtId="43" fontId="14" fillId="0" borderId="0" xfId="1" applyFont="1" applyProtection="1"/>
    <xf numFmtId="170" fontId="13" fillId="0" borderId="15" xfId="1" applyNumberFormat="1" applyFont="1" applyBorder="1" applyAlignment="1" applyProtection="1">
      <alignment horizontal="center" vertical="center"/>
    </xf>
    <xf numFmtId="0" fontId="14" fillId="0" borderId="80" xfId="0" applyFont="1" applyBorder="1"/>
    <xf numFmtId="178" fontId="48" fillId="0" borderId="0" xfId="0" applyNumberFormat="1" applyFont="1"/>
    <xf numFmtId="0" fontId="4" fillId="0" borderId="0" xfId="0" applyFont="1"/>
    <xf numFmtId="0" fontId="6" fillId="0" borderId="0" xfId="0" applyFont="1"/>
    <xf numFmtId="0" fontId="33" fillId="0" borderId="0" xfId="0" applyFont="1" applyAlignment="1">
      <alignment vertical="center"/>
    </xf>
    <xf numFmtId="43" fontId="38" fillId="0" borderId="0" xfId="1" applyFont="1" applyFill="1" applyBorder="1" applyAlignment="1" applyProtection="1">
      <alignment vertical="center"/>
    </xf>
    <xf numFmtId="0" fontId="14" fillId="0" borderId="17" xfId="0" applyFont="1" applyBorder="1" applyAlignment="1">
      <alignment horizontal="center"/>
    </xf>
    <xf numFmtId="0" fontId="8" fillId="0" borderId="0" xfId="0" applyFont="1" applyAlignment="1">
      <alignment horizontal="center" vertical="center"/>
    </xf>
    <xf numFmtId="0" fontId="7" fillId="5" borderId="77" xfId="0" applyFont="1" applyFill="1" applyBorder="1" applyAlignment="1">
      <alignment vertical="center"/>
    </xf>
    <xf numFmtId="43" fontId="14" fillId="0" borderId="0" xfId="1" applyFont="1" applyAlignment="1" applyProtection="1">
      <alignment vertical="center"/>
    </xf>
    <xf numFmtId="0" fontId="14" fillId="0" borderId="3" xfId="0" applyFont="1" applyBorder="1" applyAlignment="1">
      <alignment vertical="center"/>
    </xf>
    <xf numFmtId="0" fontId="14" fillId="0" borderId="6" xfId="0" applyFont="1" applyBorder="1" applyAlignment="1">
      <alignment vertical="center"/>
    </xf>
    <xf numFmtId="0" fontId="14" fillId="0" borderId="11" xfId="0" applyFont="1" applyBorder="1" applyAlignment="1">
      <alignment vertical="center"/>
    </xf>
    <xf numFmtId="171" fontId="18" fillId="0" borderId="0" xfId="2" applyNumberFormat="1" applyFont="1" applyBorder="1" applyAlignment="1" applyProtection="1">
      <alignment horizontal="center" vertical="center"/>
    </xf>
    <xf numFmtId="174" fontId="18" fillId="7" borderId="0" xfId="3" applyNumberFormat="1" applyFont="1" applyFill="1" applyAlignment="1">
      <alignment horizontal="center" vertical="center"/>
    </xf>
    <xf numFmtId="43" fontId="14" fillId="0" borderId="0" xfId="1" applyFont="1" applyBorder="1" applyAlignment="1" applyProtection="1">
      <alignment vertical="center"/>
    </xf>
    <xf numFmtId="0" fontId="46" fillId="0" borderId="0" xfId="0" applyFont="1" applyAlignment="1">
      <alignment vertical="center"/>
    </xf>
    <xf numFmtId="0" fontId="14" fillId="0" borderId="0" xfId="0" applyFont="1" applyAlignment="1">
      <alignment horizontal="left" vertical="center"/>
    </xf>
    <xf numFmtId="0" fontId="7" fillId="5" borderId="77" xfId="0" applyFont="1" applyFill="1" applyBorder="1" applyAlignment="1">
      <alignment horizontal="center" vertical="center"/>
    </xf>
    <xf numFmtId="0" fontId="10" fillId="0" borderId="0" xfId="0" applyFont="1" applyAlignment="1">
      <alignment vertical="center"/>
    </xf>
    <xf numFmtId="0" fontId="15" fillId="0" borderId="2" xfId="0" applyFont="1" applyBorder="1" applyAlignment="1">
      <alignment vertical="center"/>
    </xf>
    <xf numFmtId="165" fontId="15" fillId="0" borderId="0" xfId="0" applyNumberFormat="1" applyFont="1" applyAlignment="1">
      <alignment vertical="center"/>
    </xf>
    <xf numFmtId="0" fontId="15" fillId="0" borderId="0" xfId="0" applyFont="1" applyAlignment="1">
      <alignment horizontal="left" vertical="center"/>
    </xf>
    <xf numFmtId="0" fontId="10" fillId="0" borderId="0" xfId="0" applyFont="1" applyAlignment="1">
      <alignment horizontal="center" vertical="center"/>
    </xf>
    <xf numFmtId="17" fontId="18" fillId="0" borderId="0" xfId="0" applyNumberFormat="1" applyFont="1" applyAlignment="1">
      <alignment vertical="center"/>
    </xf>
    <xf numFmtId="165" fontId="21" fillId="0" borderId="0" xfId="0" applyNumberFormat="1" applyFont="1" applyAlignment="1">
      <alignment vertical="center"/>
    </xf>
    <xf numFmtId="0" fontId="33" fillId="0" borderId="0" xfId="0" applyFont="1" applyAlignment="1">
      <alignment horizontal="center" vertical="center"/>
    </xf>
    <xf numFmtId="17" fontId="18" fillId="0" borderId="0" xfId="0" applyNumberFormat="1" applyFont="1"/>
    <xf numFmtId="165" fontId="14" fillId="0" borderId="0" xfId="0" applyNumberFormat="1" applyFont="1"/>
    <xf numFmtId="165" fontId="21" fillId="0" borderId="0" xfId="0" applyNumberFormat="1" applyFont="1"/>
    <xf numFmtId="0" fontId="21" fillId="0" borderId="0" xfId="0" applyFont="1"/>
    <xf numFmtId="17" fontId="14" fillId="0" borderId="0" xfId="0" applyNumberFormat="1" applyFont="1"/>
    <xf numFmtId="0" fontId="21" fillId="0" borderId="0" xfId="0" applyFont="1" applyAlignment="1">
      <alignment horizontal="center"/>
    </xf>
    <xf numFmtId="0" fontId="57" fillId="0" borderId="28" xfId="0" applyFont="1" applyBorder="1" applyProtection="1">
      <protection locked="0"/>
    </xf>
    <xf numFmtId="0" fontId="57" fillId="0" borderId="0" xfId="0" applyFont="1" applyAlignment="1" applyProtection="1">
      <alignment horizontal="right"/>
      <protection locked="0"/>
    </xf>
    <xf numFmtId="0" fontId="57" fillId="0" borderId="0" xfId="0" applyFont="1" applyProtection="1">
      <protection locked="0"/>
    </xf>
    <xf numFmtId="0" fontId="7" fillId="5" borderId="77" xfId="0" applyFont="1" applyFill="1" applyBorder="1" applyAlignment="1" applyProtection="1">
      <alignment vertical="center"/>
      <protection locked="0"/>
    </xf>
    <xf numFmtId="167" fontId="44" fillId="0" borderId="0" xfId="0" applyNumberFormat="1" applyFont="1" applyAlignment="1" applyProtection="1">
      <alignment horizontal="center" vertical="center"/>
      <protection locked="0"/>
    </xf>
    <xf numFmtId="167" fontId="14" fillId="0" borderId="77" xfId="0" applyNumberFormat="1" applyFont="1" applyBorder="1" applyAlignment="1" applyProtection="1">
      <alignment horizontal="center" vertical="center"/>
      <protection locked="0"/>
    </xf>
    <xf numFmtId="0" fontId="34" fillId="0" borderId="0" xfId="0" applyFont="1" applyAlignment="1" applyProtection="1">
      <alignment vertical="center"/>
      <protection locked="0"/>
    </xf>
    <xf numFmtId="0" fontId="45" fillId="0" borderId="0" xfId="0" applyFont="1" applyAlignment="1" applyProtection="1">
      <alignment horizontal="center" vertical="center"/>
      <protection locked="0"/>
    </xf>
    <xf numFmtId="0" fontId="46" fillId="0" borderId="0" xfId="0" applyFont="1" applyAlignment="1" applyProtection="1">
      <alignment vertical="center"/>
      <protection locked="0"/>
    </xf>
    <xf numFmtId="43" fontId="46" fillId="0" borderId="0" xfId="1" applyFont="1" applyProtection="1">
      <protection locked="0"/>
    </xf>
    <xf numFmtId="0" fontId="39" fillId="0" borderId="0" xfId="0" applyFont="1" applyProtection="1">
      <protection locked="0"/>
    </xf>
    <xf numFmtId="43" fontId="47" fillId="0" borderId="0" xfId="1" applyFont="1" applyProtection="1">
      <protection locked="0"/>
    </xf>
    <xf numFmtId="0" fontId="8" fillId="0" borderId="0" xfId="0" applyFont="1" applyAlignment="1" applyProtection="1">
      <alignment horizontal="center" vertical="center"/>
      <protection locked="0"/>
    </xf>
    <xf numFmtId="0" fontId="21" fillId="5" borderId="3" xfId="0" applyFont="1" applyFill="1" applyBorder="1" applyAlignment="1" applyProtection="1">
      <alignment horizontal="left" vertical="center"/>
      <protection locked="0"/>
    </xf>
    <xf numFmtId="0" fontId="21" fillId="5" borderId="3" xfId="0" applyFont="1" applyFill="1" applyBorder="1" applyAlignment="1" applyProtection="1">
      <alignment vertical="center"/>
      <protection locked="0"/>
    </xf>
    <xf numFmtId="168" fontId="32" fillId="0" borderId="0" xfId="0" applyNumberFormat="1" applyFont="1" applyAlignment="1" applyProtection="1">
      <alignment horizontal="center"/>
      <protection locked="0"/>
    </xf>
    <xf numFmtId="10" fontId="32" fillId="0" borderId="0" xfId="0" applyNumberFormat="1" applyFont="1" applyAlignment="1" applyProtection="1">
      <alignment horizontal="center"/>
      <protection locked="0"/>
    </xf>
    <xf numFmtId="49" fontId="32" fillId="0" borderId="0" xfId="0" applyNumberFormat="1" applyFont="1" applyAlignment="1" applyProtection="1">
      <alignment horizontal="center"/>
      <protection locked="0"/>
    </xf>
    <xf numFmtId="0" fontId="13" fillId="5" borderId="6" xfId="0" applyFont="1" applyFill="1" applyBorder="1" applyAlignment="1" applyProtection="1">
      <alignment horizontal="left" vertical="center"/>
      <protection locked="0"/>
    </xf>
    <xf numFmtId="0" fontId="21" fillId="5" borderId="6" xfId="0" applyFont="1" applyFill="1" applyBorder="1" applyAlignment="1" applyProtection="1">
      <alignment vertical="center"/>
      <protection locked="0"/>
    </xf>
    <xf numFmtId="0" fontId="8" fillId="0" borderId="64" xfId="0" applyFont="1" applyBorder="1" applyAlignment="1" applyProtection="1">
      <alignment vertical="center"/>
      <protection locked="0"/>
    </xf>
    <xf numFmtId="0" fontId="8" fillId="0" borderId="76" xfId="0" applyFont="1" applyBorder="1" applyAlignment="1" applyProtection="1">
      <alignment vertical="center"/>
      <protection locked="0"/>
    </xf>
    <xf numFmtId="0" fontId="8" fillId="0" borderId="65" xfId="0" applyFont="1" applyBorder="1" applyAlignment="1" applyProtection="1">
      <alignment vertical="center"/>
      <protection locked="0"/>
    </xf>
    <xf numFmtId="0" fontId="13" fillId="5" borderId="6" xfId="0" applyFont="1" applyFill="1" applyBorder="1" applyAlignment="1" applyProtection="1">
      <alignment vertical="center"/>
      <protection locked="0"/>
    </xf>
    <xf numFmtId="43" fontId="32" fillId="0" borderId="0" xfId="1" applyFont="1" applyProtection="1">
      <protection locked="0"/>
    </xf>
    <xf numFmtId="169" fontId="19" fillId="0" borderId="5" xfId="0" applyNumberFormat="1" applyFont="1" applyBorder="1" applyAlignment="1" applyProtection="1">
      <alignment vertical="center"/>
      <protection locked="0"/>
    </xf>
    <xf numFmtId="0" fontId="15" fillId="0" borderId="0" xfId="0" applyFont="1" applyProtection="1">
      <protection locked="0"/>
    </xf>
    <xf numFmtId="169" fontId="20" fillId="0" borderId="5" xfId="0" applyNumberFormat="1" applyFont="1" applyBorder="1" applyAlignment="1" applyProtection="1">
      <alignment vertical="center"/>
      <protection locked="0"/>
    </xf>
    <xf numFmtId="0" fontId="10" fillId="5" borderId="7" xfId="0" applyFont="1" applyFill="1" applyBorder="1" applyAlignment="1" applyProtection="1">
      <alignment vertical="center"/>
      <protection locked="0"/>
    </xf>
    <xf numFmtId="0" fontId="10" fillId="5" borderId="8" xfId="0" applyFont="1" applyFill="1" applyBorder="1" applyAlignment="1" applyProtection="1">
      <alignment vertical="center"/>
      <protection locked="0"/>
    </xf>
    <xf numFmtId="0" fontId="37" fillId="5" borderId="8" xfId="0" applyFont="1" applyFill="1" applyBorder="1" applyProtection="1">
      <protection locked="0"/>
    </xf>
    <xf numFmtId="0" fontId="37" fillId="5" borderId="9" xfId="0" applyFont="1" applyFill="1" applyBorder="1" applyProtection="1">
      <protection locked="0"/>
    </xf>
    <xf numFmtId="169" fontId="19" fillId="0" borderId="25" xfId="0" applyNumberFormat="1" applyFont="1" applyBorder="1" applyAlignment="1" applyProtection="1">
      <alignment vertical="center"/>
      <protection locked="0"/>
    </xf>
    <xf numFmtId="0" fontId="8" fillId="0" borderId="5" xfId="0" applyFont="1" applyBorder="1" applyAlignment="1" applyProtection="1">
      <alignment horizontal="center" vertical="center"/>
      <protection locked="0"/>
    </xf>
    <xf numFmtId="0" fontId="8" fillId="0" borderId="0" xfId="0" applyFont="1" applyProtection="1">
      <protection locked="0"/>
    </xf>
    <xf numFmtId="0" fontId="8" fillId="0" borderId="31" xfId="0" applyFont="1" applyBorder="1" applyProtection="1">
      <protection locked="0"/>
    </xf>
    <xf numFmtId="0" fontId="8" fillId="0" borderId="30" xfId="0" applyFont="1" applyBorder="1" applyProtection="1">
      <protection locked="0"/>
    </xf>
    <xf numFmtId="0" fontId="8" fillId="0" borderId="32" xfId="0" applyFont="1" applyBorder="1" applyProtection="1">
      <protection locked="0"/>
    </xf>
    <xf numFmtId="0" fontId="20" fillId="0" borderId="0" xfId="0" applyFont="1" applyAlignment="1" applyProtection="1">
      <alignment horizontal="left" vertical="center"/>
      <protection locked="0"/>
    </xf>
    <xf numFmtId="169" fontId="8" fillId="0" borderId="18" xfId="0" applyNumberFormat="1" applyFont="1" applyBorder="1" applyAlignment="1" applyProtection="1">
      <alignment horizontal="left" vertical="center"/>
      <protection locked="0"/>
    </xf>
    <xf numFmtId="0" fontId="8" fillId="0" borderId="35" xfId="0" applyFont="1" applyBorder="1" applyAlignment="1" applyProtection="1">
      <alignment vertical="center"/>
      <protection locked="0"/>
    </xf>
    <xf numFmtId="0" fontId="8" fillId="0" borderId="25" xfId="0" applyFont="1" applyBorder="1" applyProtection="1">
      <protection locked="0"/>
    </xf>
    <xf numFmtId="0" fontId="8" fillId="0" borderId="0" xfId="0" applyFont="1" applyAlignment="1" applyProtection="1">
      <alignment horizontal="left"/>
      <protection locked="0"/>
    </xf>
    <xf numFmtId="0" fontId="8" fillId="0" borderId="21" xfId="0" applyFont="1" applyBorder="1" applyProtection="1">
      <protection locked="0"/>
    </xf>
    <xf numFmtId="0" fontId="64" fillId="0" borderId="0" xfId="0" applyFont="1" applyProtection="1">
      <protection locked="0"/>
    </xf>
    <xf numFmtId="171" fontId="8" fillId="0" borderId="5" xfId="0" applyNumberFormat="1" applyFont="1" applyBorder="1" applyAlignment="1" applyProtection="1">
      <alignment horizontal="center" vertical="center"/>
      <protection locked="0"/>
    </xf>
    <xf numFmtId="0" fontId="16" fillId="0" borderId="5" xfId="0" applyFont="1" applyBorder="1" applyAlignment="1" applyProtection="1">
      <alignment horizontal="center" vertical="center"/>
      <protection locked="0"/>
    </xf>
    <xf numFmtId="0" fontId="13" fillId="5" borderId="0" xfId="0" applyFont="1" applyFill="1" applyAlignment="1" applyProtection="1">
      <alignment vertical="center"/>
      <protection locked="0"/>
    </xf>
    <xf numFmtId="171" fontId="8" fillId="0" borderId="43" xfId="0" applyNumberFormat="1" applyFont="1" applyBorder="1" applyAlignment="1" applyProtection="1">
      <alignment horizontal="center" vertical="center"/>
      <protection locked="0"/>
    </xf>
    <xf numFmtId="0" fontId="16" fillId="0" borderId="25" xfId="0" applyFont="1" applyBorder="1" applyProtection="1">
      <protection locked="0"/>
    </xf>
    <xf numFmtId="0" fontId="16" fillId="0" borderId="0" xfId="0" applyFont="1" applyAlignment="1" applyProtection="1">
      <alignment horizontal="center"/>
      <protection locked="0"/>
    </xf>
    <xf numFmtId="0" fontId="8" fillId="0" borderId="8" xfId="0" applyFont="1" applyBorder="1" applyProtection="1">
      <protection locked="0"/>
    </xf>
    <xf numFmtId="0" fontId="16" fillId="0" borderId="21" xfId="0" applyFont="1" applyBorder="1" applyProtection="1">
      <protection locked="0"/>
    </xf>
    <xf numFmtId="0" fontId="8" fillId="0" borderId="10" xfId="0" applyFont="1" applyBorder="1" applyAlignment="1" applyProtection="1">
      <alignment horizontal="center" vertical="center"/>
      <protection locked="0"/>
    </xf>
    <xf numFmtId="169" fontId="8" fillId="0" borderId="42" xfId="0" applyNumberFormat="1" applyFont="1" applyBorder="1" applyAlignment="1" applyProtection="1">
      <alignment horizontal="left" vertical="center"/>
      <protection locked="0"/>
    </xf>
    <xf numFmtId="0" fontId="8" fillId="0" borderId="9" xfId="0" applyFont="1" applyBorder="1" applyAlignment="1" applyProtection="1">
      <alignment vertical="center"/>
      <protection locked="0"/>
    </xf>
    <xf numFmtId="0" fontId="7" fillId="5" borderId="7" xfId="0" applyFont="1" applyFill="1" applyBorder="1" applyAlignment="1" applyProtection="1">
      <alignment horizontal="left"/>
      <protection locked="0"/>
    </xf>
    <xf numFmtId="0" fontId="7" fillId="5" borderId="8" xfId="0" applyFont="1" applyFill="1" applyBorder="1" applyAlignment="1" applyProtection="1">
      <alignment horizontal="left"/>
      <protection locked="0"/>
    </xf>
    <xf numFmtId="0" fontId="7" fillId="5" borderId="8" xfId="0" applyFont="1" applyFill="1" applyBorder="1" applyAlignment="1" applyProtection="1">
      <alignment horizontal="center"/>
      <protection locked="0"/>
    </xf>
    <xf numFmtId="0" fontId="7" fillId="5" borderId="8" xfId="0" applyFont="1" applyFill="1" applyBorder="1" applyProtection="1">
      <protection locked="0"/>
    </xf>
    <xf numFmtId="0" fontId="7" fillId="5" borderId="8" xfId="0" applyFont="1" applyFill="1" applyBorder="1" applyAlignment="1" applyProtection="1">
      <alignment vertical="center"/>
      <protection locked="0"/>
    </xf>
    <xf numFmtId="0" fontId="7" fillId="5" borderId="9" xfId="0" applyFont="1" applyFill="1" applyBorder="1" applyProtection="1">
      <protection locked="0"/>
    </xf>
    <xf numFmtId="0" fontId="16" fillId="0" borderId="39" xfId="0" applyFont="1" applyBorder="1" applyAlignment="1" applyProtection="1">
      <alignment horizontal="center" vertical="center"/>
      <protection locked="0"/>
    </xf>
    <xf numFmtId="169" fontId="8" fillId="0" borderId="0" xfId="0" applyNumberFormat="1" applyFont="1" applyAlignment="1" applyProtection="1">
      <alignment horizontal="left" vertical="center"/>
      <protection locked="0"/>
    </xf>
    <xf numFmtId="171" fontId="16" fillId="0" borderId="5" xfId="0" applyNumberFormat="1" applyFont="1" applyBorder="1" applyAlignment="1" applyProtection="1">
      <alignment horizontal="center" vertical="center"/>
      <protection locked="0"/>
    </xf>
    <xf numFmtId="0" fontId="16" fillId="0" borderId="34" xfId="0" applyFont="1" applyBorder="1" applyProtection="1">
      <protection locked="0"/>
    </xf>
    <xf numFmtId="0" fontId="8" fillId="0" borderId="18" xfId="0" applyFont="1" applyBorder="1" applyProtection="1">
      <protection locked="0"/>
    </xf>
    <xf numFmtId="0" fontId="8" fillId="0" borderId="35" xfId="0" applyFont="1" applyBorder="1" applyProtection="1">
      <protection locked="0"/>
    </xf>
    <xf numFmtId="0" fontId="7" fillId="0" borderId="0" xfId="0" applyFont="1" applyAlignment="1" applyProtection="1">
      <alignment vertical="center"/>
      <protection locked="0"/>
    </xf>
    <xf numFmtId="0" fontId="20" fillId="0" borderId="5" xfId="0" applyFont="1" applyBorder="1" applyAlignment="1" applyProtection="1">
      <alignment horizontal="center" vertical="center"/>
      <protection locked="0"/>
    </xf>
    <xf numFmtId="169" fontId="8" fillId="0" borderId="5" xfId="1" applyNumberFormat="1" applyFont="1" applyBorder="1" applyAlignment="1" applyProtection="1">
      <alignment horizontal="center" vertical="center"/>
      <protection locked="0"/>
    </xf>
    <xf numFmtId="0" fontId="42" fillId="0" borderId="0" xfId="0" applyFont="1" applyProtection="1">
      <protection locked="0"/>
    </xf>
    <xf numFmtId="0" fontId="8" fillId="0" borderId="0" xfId="0" applyFont="1" applyAlignment="1" applyProtection="1">
      <alignment horizontal="right"/>
      <protection locked="0"/>
    </xf>
    <xf numFmtId="0" fontId="20" fillId="0" borderId="0" xfId="3" applyFont="1" applyProtection="1">
      <protection locked="0"/>
    </xf>
    <xf numFmtId="0" fontId="8" fillId="0" borderId="0" xfId="0" applyFont="1" applyAlignment="1" applyProtection="1">
      <alignment horizontal="center"/>
      <protection locked="0"/>
    </xf>
    <xf numFmtId="0" fontId="50" fillId="0" borderId="0" xfId="3" applyFont="1" applyProtection="1">
      <protection locked="0"/>
    </xf>
    <xf numFmtId="0" fontId="16" fillId="5" borderId="0" xfId="0" applyFont="1" applyFill="1" applyAlignment="1" applyProtection="1">
      <alignment vertical="center"/>
      <protection locked="0"/>
    </xf>
    <xf numFmtId="0" fontId="31" fillId="0" borderId="0" xfId="0" applyFont="1" applyProtection="1">
      <protection locked="0"/>
    </xf>
    <xf numFmtId="43" fontId="8" fillId="0" borderId="0" xfId="1" applyFont="1" applyProtection="1">
      <protection locked="0"/>
    </xf>
    <xf numFmtId="0" fontId="50" fillId="0" borderId="0" xfId="0" applyFont="1" applyAlignment="1" applyProtection="1">
      <alignment vertical="center"/>
      <protection locked="0"/>
    </xf>
    <xf numFmtId="0" fontId="65" fillId="0" borderId="0" xfId="0" applyFont="1" applyAlignment="1" applyProtection="1">
      <alignment vertical="center"/>
      <protection locked="0"/>
    </xf>
    <xf numFmtId="0" fontId="8" fillId="0" borderId="16" xfId="0" applyFont="1" applyBorder="1" applyProtection="1">
      <protection locked="0"/>
    </xf>
    <xf numFmtId="0" fontId="8" fillId="0" borderId="17" xfId="0" applyFont="1" applyBorder="1" applyAlignment="1" applyProtection="1">
      <alignment horizontal="center"/>
      <protection locked="0"/>
    </xf>
    <xf numFmtId="178" fontId="32" fillId="0" borderId="0" xfId="0" applyNumberFormat="1" applyFont="1" applyProtection="1">
      <protection locked="0"/>
    </xf>
    <xf numFmtId="0" fontId="46" fillId="0" borderId="0" xfId="0" applyFont="1" applyAlignment="1">
      <alignment horizontal="center" vertical="center"/>
    </xf>
    <xf numFmtId="0" fontId="8" fillId="0" borderId="8" xfId="0" applyFont="1" applyBorder="1" applyAlignment="1" applyProtection="1">
      <alignment vertical="center"/>
      <protection locked="0"/>
    </xf>
    <xf numFmtId="0" fontId="7" fillId="0" borderId="0" xfId="0" applyFont="1" applyAlignment="1">
      <alignment vertical="center"/>
    </xf>
    <xf numFmtId="0" fontId="16" fillId="0" borderId="17" xfId="0" applyFont="1" applyBorder="1" applyProtection="1">
      <protection locked="0"/>
    </xf>
    <xf numFmtId="0" fontId="8" fillId="0" borderId="24" xfId="0" applyFont="1" applyBorder="1" applyProtection="1">
      <protection locked="0"/>
    </xf>
    <xf numFmtId="0" fontId="8" fillId="0" borderId="17" xfId="0" applyFont="1" applyBorder="1" applyProtection="1">
      <protection locked="0"/>
    </xf>
    <xf numFmtId="0" fontId="10" fillId="5" borderId="1" xfId="0" applyFont="1" applyFill="1" applyBorder="1" applyAlignment="1">
      <alignment horizontal="center" vertical="center"/>
    </xf>
    <xf numFmtId="165" fontId="14" fillId="0" borderId="0" xfId="0" applyNumberFormat="1" applyFont="1" applyAlignment="1">
      <alignment horizontal="center" vertical="center"/>
    </xf>
    <xf numFmtId="169" fontId="18" fillId="0" borderId="20" xfId="0" applyNumberFormat="1" applyFont="1" applyBorder="1" applyAlignment="1">
      <alignment horizontal="left" vertical="center"/>
    </xf>
    <xf numFmtId="0" fontId="10" fillId="0" borderId="0" xfId="0" applyFont="1" applyAlignment="1">
      <alignment horizontal="center"/>
    </xf>
    <xf numFmtId="178" fontId="10" fillId="0" borderId="0" xfId="0" applyNumberFormat="1" applyFont="1" applyAlignment="1">
      <alignment horizontal="center"/>
    </xf>
    <xf numFmtId="0" fontId="10" fillId="0" borderId="0" xfId="0" applyFont="1"/>
    <xf numFmtId="166" fontId="10" fillId="0" borderId="0" xfId="1" applyNumberFormat="1" applyFont="1" applyAlignment="1" applyProtection="1">
      <alignment horizontal="center"/>
    </xf>
    <xf numFmtId="9" fontId="10" fillId="0" borderId="0" xfId="0" applyNumberFormat="1" applyFont="1"/>
    <xf numFmtId="167" fontId="21" fillId="0" borderId="0" xfId="0" applyNumberFormat="1" applyFont="1"/>
    <xf numFmtId="0" fontId="14" fillId="4" borderId="0" xfId="0" applyFont="1" applyFill="1"/>
    <xf numFmtId="168" fontId="14" fillId="0" borderId="0" xfId="0" applyNumberFormat="1" applyFont="1" applyAlignment="1">
      <alignment horizontal="center"/>
    </xf>
    <xf numFmtId="10" fontId="14" fillId="0" borderId="0" xfId="0" applyNumberFormat="1" applyFont="1" applyAlignment="1">
      <alignment horizontal="center"/>
    </xf>
    <xf numFmtId="49" fontId="14" fillId="0" borderId="0" xfId="0" applyNumberFormat="1" applyFont="1" applyAlignment="1">
      <alignment horizontal="center"/>
    </xf>
    <xf numFmtId="167" fontId="14" fillId="0" borderId="77" xfId="0" applyNumberFormat="1" applyFont="1" applyBorder="1" applyAlignment="1">
      <alignment horizontal="center"/>
    </xf>
    <xf numFmtId="0" fontId="15" fillId="0" borderId="18" xfId="0" applyFont="1" applyBorder="1" applyAlignment="1">
      <alignment horizontal="center" vertical="center"/>
    </xf>
    <xf numFmtId="0" fontId="15" fillId="0" borderId="18" xfId="0" applyFont="1" applyBorder="1" applyAlignment="1">
      <alignment horizontal="center"/>
    </xf>
    <xf numFmtId="165" fontId="15" fillId="0" borderId="18" xfId="0" applyNumberFormat="1" applyFont="1" applyBorder="1"/>
    <xf numFmtId="0" fontId="14" fillId="0" borderId="18" xfId="0" applyFont="1" applyBorder="1"/>
    <xf numFmtId="0" fontId="21" fillId="5" borderId="3" xfId="0" applyFont="1" applyFill="1" applyBorder="1" applyAlignment="1">
      <alignment horizontal="left" vertical="center"/>
    </xf>
    <xf numFmtId="0" fontId="10" fillId="5" borderId="3" xfId="0" applyFont="1" applyFill="1" applyBorder="1" applyAlignment="1">
      <alignment vertical="center"/>
    </xf>
    <xf numFmtId="0" fontId="10" fillId="5" borderId="6" xfId="0" applyFont="1" applyFill="1" applyBorder="1" applyAlignment="1">
      <alignment vertical="center"/>
    </xf>
    <xf numFmtId="0" fontId="14" fillId="0" borderId="4" xfId="0" applyFont="1" applyBorder="1" applyAlignment="1">
      <alignment horizontal="center" vertical="center"/>
    </xf>
    <xf numFmtId="0" fontId="14" fillId="0" borderId="8" xfId="0" applyFont="1" applyBorder="1" applyAlignment="1">
      <alignment vertical="center"/>
    </xf>
    <xf numFmtId="0" fontId="21" fillId="5" borderId="3" xfId="0" applyFont="1" applyFill="1" applyBorder="1" applyAlignment="1">
      <alignment vertical="center"/>
    </xf>
    <xf numFmtId="0" fontId="15" fillId="0" borderId="0" xfId="1" applyNumberFormat="1" applyFont="1" applyAlignment="1" applyProtection="1">
      <alignment vertical="center"/>
    </xf>
    <xf numFmtId="0" fontId="15" fillId="0" borderId="0" xfId="1" applyNumberFormat="1" applyFont="1" applyBorder="1" applyAlignment="1" applyProtection="1">
      <alignment vertical="center"/>
    </xf>
    <xf numFmtId="0" fontId="15" fillId="0" borderId="0" xfId="1" applyNumberFormat="1" applyFont="1" applyBorder="1" applyAlignment="1" applyProtection="1">
      <alignment horizontal="right"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4" fillId="0" borderId="6" xfId="0" applyFont="1" applyBorder="1" applyAlignment="1">
      <alignment horizontal="center" vertical="center"/>
    </xf>
    <xf numFmtId="9" fontId="15" fillId="0" borderId="7" xfId="2" applyFont="1" applyBorder="1" applyAlignment="1" applyProtection="1">
      <alignment horizontal="center" vertical="center"/>
    </xf>
    <xf numFmtId="170" fontId="14" fillId="0" borderId="1" xfId="0" applyNumberFormat="1" applyFont="1" applyBorder="1" applyAlignment="1">
      <alignment horizontal="center" vertical="center"/>
    </xf>
    <xf numFmtId="0" fontId="14" fillId="0" borderId="1" xfId="0" applyFont="1" applyBorder="1" applyAlignment="1">
      <alignment vertical="center"/>
    </xf>
    <xf numFmtId="170" fontId="14" fillId="0" borderId="0" xfId="0" applyNumberFormat="1" applyFont="1"/>
    <xf numFmtId="169" fontId="15" fillId="0" borderId="0" xfId="0" applyNumberFormat="1" applyFont="1" applyAlignment="1">
      <alignment horizontal="left" vertical="center"/>
    </xf>
    <xf numFmtId="169" fontId="15" fillId="0" borderId="0" xfId="1" applyNumberFormat="1" applyFont="1" applyAlignment="1" applyProtection="1">
      <alignment vertical="center"/>
    </xf>
    <xf numFmtId="169" fontId="15" fillId="0" borderId="0" xfId="1" applyNumberFormat="1" applyFont="1" applyBorder="1" applyAlignment="1" applyProtection="1">
      <alignment vertical="center"/>
    </xf>
    <xf numFmtId="0" fontId="21" fillId="5" borderId="0" xfId="0" applyFont="1" applyFill="1" applyAlignment="1">
      <alignment horizontal="left" vertical="center"/>
    </xf>
    <xf numFmtId="0" fontId="15" fillId="0" borderId="5" xfId="0" applyFont="1" applyBorder="1" applyAlignment="1">
      <alignment horizontal="center" vertical="center"/>
    </xf>
    <xf numFmtId="169" fontId="15" fillId="0" borderId="0" xfId="0" applyNumberFormat="1" applyFont="1" applyAlignment="1">
      <alignment vertical="center"/>
    </xf>
    <xf numFmtId="171" fontId="15" fillId="0" borderId="5" xfId="2" applyNumberFormat="1" applyFont="1" applyBorder="1" applyAlignment="1" applyProtection="1">
      <alignment horizontal="center" vertical="center"/>
    </xf>
    <xf numFmtId="0" fontId="14" fillId="0" borderId="5" xfId="0" applyFont="1" applyBorder="1" applyAlignment="1">
      <alignment horizontal="center" vertical="center"/>
    </xf>
    <xf numFmtId="169" fontId="14" fillId="0" borderId="10" xfId="0" applyNumberFormat="1" applyFont="1" applyBorder="1" applyAlignment="1">
      <alignment horizontal="left" vertical="center"/>
    </xf>
    <xf numFmtId="169" fontId="14" fillId="0" borderId="42" xfId="0" applyNumberFormat="1" applyFont="1" applyBorder="1" applyAlignment="1">
      <alignment vertical="center"/>
    </xf>
    <xf numFmtId="169" fontId="14" fillId="0" borderId="9" xfId="0" applyNumberFormat="1" applyFont="1" applyBorder="1" applyAlignment="1">
      <alignment vertical="center"/>
    </xf>
    <xf numFmtId="3" fontId="33" fillId="0" borderId="5" xfId="1" applyNumberFormat="1" applyFont="1" applyBorder="1" applyAlignment="1" applyProtection="1">
      <alignment horizontal="center" vertical="center"/>
    </xf>
    <xf numFmtId="17" fontId="15" fillId="0" borderId="0" xfId="0" applyNumberFormat="1" applyFont="1" applyAlignment="1">
      <alignment horizontal="center" vertical="center"/>
    </xf>
    <xf numFmtId="43" fontId="15" fillId="0" borderId="0" xfId="1" applyFont="1" applyAlignment="1" applyProtection="1">
      <alignment vertical="center"/>
    </xf>
    <xf numFmtId="0" fontId="21" fillId="0" borderId="0" xfId="0" applyFont="1" applyAlignment="1">
      <alignment horizontal="left" vertical="center"/>
    </xf>
    <xf numFmtId="43" fontId="14" fillId="0" borderId="0" xfId="1" applyFont="1" applyAlignment="1" applyProtection="1">
      <alignment horizontal="left" vertical="center"/>
    </xf>
    <xf numFmtId="43" fontId="14" fillId="0" borderId="0" xfId="1" applyFont="1" applyAlignment="1" applyProtection="1">
      <alignment horizontal="right" vertical="center"/>
    </xf>
    <xf numFmtId="0" fontId="18" fillId="0" borderId="1" xfId="0" applyFont="1" applyBorder="1" applyAlignment="1">
      <alignment horizontal="center" vertical="center"/>
    </xf>
    <xf numFmtId="174" fontId="18" fillId="7" borderId="1" xfId="3" applyNumberFormat="1" applyFont="1" applyFill="1" applyBorder="1" applyAlignment="1">
      <alignment horizontal="center" vertical="center"/>
    </xf>
    <xf numFmtId="169" fontId="14" fillId="0" borderId="1" xfId="1" applyNumberFormat="1" applyFont="1" applyBorder="1" applyAlignment="1" applyProtection="1">
      <alignment horizontal="center" vertical="center"/>
    </xf>
    <xf numFmtId="165" fontId="14" fillId="6" borderId="12" xfId="0" applyNumberFormat="1" applyFont="1" applyFill="1" applyBorder="1"/>
    <xf numFmtId="0" fontId="18" fillId="0" borderId="0" xfId="3" applyFont="1" applyAlignment="1">
      <alignment vertical="center"/>
    </xf>
    <xf numFmtId="0" fontId="71" fillId="0" borderId="0" xfId="0" applyFont="1" applyAlignment="1">
      <alignment vertical="center"/>
    </xf>
    <xf numFmtId="170" fontId="15" fillId="9" borderId="1" xfId="0" applyNumberFormat="1" applyFont="1" applyFill="1" applyBorder="1" applyAlignment="1">
      <alignment horizontal="center" vertical="center"/>
    </xf>
    <xf numFmtId="170" fontId="15" fillId="0" borderId="0" xfId="0" applyNumberFormat="1" applyFont="1" applyAlignment="1">
      <alignment horizontal="center" vertical="center"/>
    </xf>
    <xf numFmtId="178" fontId="72" fillId="0" borderId="0" xfId="0" applyNumberFormat="1" applyFont="1" applyAlignment="1">
      <alignment vertical="center"/>
    </xf>
    <xf numFmtId="43" fontId="21" fillId="0" borderId="0" xfId="1" applyFont="1" applyAlignment="1" applyProtection="1">
      <alignment horizontal="center"/>
    </xf>
    <xf numFmtId="43" fontId="18" fillId="0" borderId="0" xfId="1" applyFont="1" applyProtection="1"/>
    <xf numFmtId="0" fontId="14" fillId="0" borderId="15" xfId="0" applyFont="1" applyBorder="1" applyAlignment="1">
      <alignment horizontal="center" vertical="center" wrapText="1"/>
    </xf>
    <xf numFmtId="0" fontId="14" fillId="0" borderId="15" xfId="0" applyFont="1" applyBorder="1" applyAlignment="1">
      <alignment horizontal="center"/>
    </xf>
    <xf numFmtId="0" fontId="14" fillId="0" borderId="1" xfId="0" applyFont="1" applyBorder="1" applyAlignment="1">
      <alignment horizontal="center"/>
    </xf>
    <xf numFmtId="168" fontId="14" fillId="0" borderId="15" xfId="0" applyNumberFormat="1" applyFont="1" applyBorder="1" applyAlignment="1">
      <alignment horizontal="right"/>
    </xf>
    <xf numFmtId="176" fontId="73" fillId="0" borderId="0" xfId="3" applyNumberFormat="1" applyFont="1" applyAlignment="1">
      <alignment vertical="top" wrapText="1"/>
    </xf>
    <xf numFmtId="165" fontId="18" fillId="0" borderId="15" xfId="4" applyFont="1" applyBorder="1" applyProtection="1"/>
    <xf numFmtId="43" fontId="14" fillId="0" borderId="15" xfId="1" applyFont="1" applyBorder="1" applyProtection="1"/>
    <xf numFmtId="175" fontId="14" fillId="0" borderId="15" xfId="1" applyNumberFormat="1" applyFont="1" applyBorder="1" applyProtection="1"/>
    <xf numFmtId="171" fontId="14" fillId="0" borderId="15" xfId="2" applyNumberFormat="1" applyFont="1" applyBorder="1" applyAlignment="1" applyProtection="1">
      <alignment horizontal="center"/>
    </xf>
    <xf numFmtId="43" fontId="14" fillId="0" borderId="1" xfId="1" applyFont="1" applyBorder="1" applyProtection="1"/>
    <xf numFmtId="43" fontId="14" fillId="0" borderId="19" xfId="1" applyFont="1" applyBorder="1" applyProtection="1"/>
    <xf numFmtId="10" fontId="14" fillId="0" borderId="19" xfId="2" applyNumberFormat="1" applyFont="1" applyBorder="1" applyAlignment="1" applyProtection="1">
      <alignment horizontal="center"/>
    </xf>
    <xf numFmtId="168" fontId="14" fillId="0" borderId="1" xfId="0" applyNumberFormat="1" applyFont="1" applyBorder="1" applyAlignment="1">
      <alignment horizontal="right"/>
    </xf>
    <xf numFmtId="176" fontId="18" fillId="0" borderId="12" xfId="0" applyNumberFormat="1" applyFont="1" applyBorder="1" applyAlignment="1">
      <alignment vertical="top" wrapText="1"/>
    </xf>
    <xf numFmtId="176" fontId="18" fillId="0" borderId="0" xfId="0" applyNumberFormat="1" applyFont="1" applyAlignment="1">
      <alignment vertical="top" wrapText="1"/>
    </xf>
    <xf numFmtId="175" fontId="14" fillId="0" borderId="1" xfId="1" applyNumberFormat="1" applyFont="1" applyBorder="1" applyProtection="1"/>
    <xf numFmtId="171" fontId="14" fillId="0" borderId="1" xfId="2" applyNumberFormat="1" applyFont="1" applyBorder="1" applyAlignment="1" applyProtection="1">
      <alignment horizontal="center"/>
    </xf>
    <xf numFmtId="43" fontId="14" fillId="0" borderId="14" xfId="1" applyFont="1" applyBorder="1" applyProtection="1"/>
    <xf numFmtId="10" fontId="14" fillId="0" borderId="14" xfId="2" applyNumberFormat="1" applyFont="1" applyBorder="1" applyAlignment="1" applyProtection="1">
      <alignment horizontal="center"/>
    </xf>
    <xf numFmtId="168" fontId="14" fillId="0" borderId="0" xfId="0" applyNumberFormat="1" applyFont="1" applyAlignment="1">
      <alignment horizontal="right"/>
    </xf>
    <xf numFmtId="0" fontId="14" fillId="3" borderId="0" xfId="0" applyFont="1" applyFill="1"/>
    <xf numFmtId="170" fontId="14" fillId="0" borderId="0" xfId="1" applyNumberFormat="1" applyFont="1" applyProtection="1"/>
    <xf numFmtId="170" fontId="21" fillId="0" borderId="15" xfId="1" applyNumberFormat="1" applyFont="1" applyBorder="1" applyAlignment="1" applyProtection="1">
      <alignment horizontal="center" vertical="center"/>
    </xf>
    <xf numFmtId="167" fontId="14" fillId="0" borderId="7" xfId="0" applyNumberFormat="1" applyFont="1" applyBorder="1" applyAlignment="1">
      <alignment horizontal="center"/>
    </xf>
    <xf numFmtId="170" fontId="14" fillId="0" borderId="0" xfId="0" applyNumberFormat="1" applyFont="1" applyAlignment="1">
      <alignment horizontal="center" vertical="center"/>
    </xf>
    <xf numFmtId="177" fontId="14" fillId="0" borderId="0" xfId="0" applyNumberFormat="1" applyFont="1"/>
    <xf numFmtId="170" fontId="14" fillId="0" borderId="21" xfId="0" applyNumberFormat="1" applyFont="1" applyBorder="1" applyAlignment="1">
      <alignment horizontal="center" vertical="center"/>
    </xf>
    <xf numFmtId="0" fontId="14" fillId="0" borderId="9" xfId="0" applyFont="1" applyBorder="1" applyAlignment="1">
      <alignment horizontal="center" vertical="center"/>
    </xf>
    <xf numFmtId="170" fontId="14" fillId="0" borderId="1" xfId="1" applyNumberFormat="1" applyFont="1" applyBorder="1" applyAlignment="1" applyProtection="1">
      <alignment horizontal="center" vertical="center"/>
    </xf>
    <xf numFmtId="170" fontId="15" fillId="9" borderId="1" xfId="1" applyNumberFormat="1" applyFont="1" applyFill="1" applyBorder="1" applyAlignment="1" applyProtection="1">
      <alignment horizontal="center" vertical="center"/>
    </xf>
    <xf numFmtId="170" fontId="14" fillId="0" borderId="0" xfId="1" applyNumberFormat="1" applyFont="1" applyBorder="1" applyAlignment="1" applyProtection="1">
      <alignment horizontal="center" vertical="center"/>
    </xf>
    <xf numFmtId="169" fontId="14" fillId="0" borderId="0" xfId="0" applyNumberFormat="1" applyFont="1" applyAlignment="1">
      <alignment horizontal="center" vertical="center"/>
    </xf>
    <xf numFmtId="44" fontId="14" fillId="0" borderId="0" xfId="5" applyFont="1" applyAlignment="1" applyProtection="1">
      <alignment vertical="center"/>
    </xf>
    <xf numFmtId="9" fontId="14" fillId="0" borderId="0" xfId="0" applyNumberFormat="1" applyFont="1" applyAlignment="1">
      <alignment horizontal="center" vertical="center"/>
    </xf>
    <xf numFmtId="170" fontId="15" fillId="0" borderId="0" xfId="0" applyNumberFormat="1" applyFont="1" applyAlignment="1">
      <alignment vertical="center"/>
    </xf>
    <xf numFmtId="171" fontId="33" fillId="0" borderId="71" xfId="0" applyNumberFormat="1" applyFont="1" applyBorder="1" applyAlignment="1">
      <alignment horizontal="center" vertical="center"/>
    </xf>
    <xf numFmtId="0" fontId="18" fillId="0" borderId="57" xfId="0" applyFont="1" applyBorder="1" applyAlignment="1">
      <alignment vertical="center"/>
    </xf>
    <xf numFmtId="170" fontId="14" fillId="0" borderId="17" xfId="0" applyNumberFormat="1" applyFont="1" applyBorder="1" applyAlignment="1">
      <alignment horizontal="center" vertical="center"/>
    </xf>
    <xf numFmtId="169" fontId="33" fillId="0" borderId="73" xfId="0" applyNumberFormat="1" applyFont="1" applyBorder="1" applyAlignment="1">
      <alignment horizontal="left" vertical="center"/>
    </xf>
    <xf numFmtId="170" fontId="14" fillId="0" borderId="0" xfId="0" applyNumberFormat="1" applyFont="1" applyAlignment="1">
      <alignment vertical="center"/>
    </xf>
    <xf numFmtId="171" fontId="33" fillId="0" borderId="74" xfId="0" applyNumberFormat="1" applyFont="1" applyBorder="1" applyAlignment="1">
      <alignment horizontal="center" vertical="center"/>
    </xf>
    <xf numFmtId="178" fontId="21" fillId="0" borderId="0" xfId="0" applyNumberFormat="1" applyFont="1"/>
    <xf numFmtId="169" fontId="14" fillId="0" borderId="0" xfId="5" applyNumberFormat="1" applyFont="1" applyBorder="1" applyAlignment="1" applyProtection="1">
      <alignment horizontal="center" vertical="center"/>
    </xf>
    <xf numFmtId="171" fontId="14" fillId="0" borderId="1" xfId="0" applyNumberFormat="1" applyFont="1" applyBorder="1" applyAlignment="1">
      <alignment horizontal="center" vertical="center"/>
    </xf>
    <xf numFmtId="0" fontId="14" fillId="0" borderId="64" xfId="0" applyFont="1" applyBorder="1" applyAlignment="1">
      <alignment vertical="center"/>
    </xf>
    <xf numFmtId="0" fontId="14" fillId="0" borderId="65" xfId="0" applyFont="1" applyBorder="1" applyAlignment="1">
      <alignment horizontal="center" vertical="center"/>
    </xf>
    <xf numFmtId="0" fontId="10" fillId="5" borderId="33" xfId="0" applyFont="1" applyFill="1" applyBorder="1" applyAlignment="1">
      <alignment vertical="center"/>
    </xf>
    <xf numFmtId="0" fontId="14" fillId="0" borderId="8" xfId="0" applyFont="1" applyBorder="1" applyAlignment="1">
      <alignment horizontal="center" vertical="center"/>
    </xf>
    <xf numFmtId="169" fontId="14" fillId="0" borderId="22" xfId="0" applyNumberFormat="1" applyFont="1" applyBorder="1" applyAlignment="1">
      <alignment horizontal="left" vertical="center"/>
    </xf>
    <xf numFmtId="0" fontId="14" fillId="0" borderId="18" xfId="0" applyFont="1" applyBorder="1" applyAlignment="1">
      <alignment vertical="center"/>
    </xf>
    <xf numFmtId="171" fontId="15" fillId="0" borderId="5" xfId="0" applyNumberFormat="1" applyFont="1" applyBorder="1" applyAlignment="1">
      <alignment horizontal="center" vertical="center"/>
    </xf>
    <xf numFmtId="0" fontId="15" fillId="0" borderId="8" xfId="0" applyFont="1" applyBorder="1" applyAlignment="1">
      <alignment vertical="center"/>
    </xf>
    <xf numFmtId="0" fontId="14" fillId="0" borderId="39" xfId="0" applyFont="1" applyBorder="1" applyAlignment="1">
      <alignment horizontal="center" vertical="center"/>
    </xf>
    <xf numFmtId="0" fontId="15" fillId="0" borderId="39" xfId="0" applyFont="1" applyBorder="1" applyAlignment="1">
      <alignment horizontal="center" vertical="center"/>
    </xf>
    <xf numFmtId="171" fontId="15" fillId="0" borderId="7" xfId="0" applyNumberFormat="1" applyFont="1" applyBorder="1" applyAlignment="1">
      <alignment horizontal="center" vertical="center"/>
    </xf>
    <xf numFmtId="170" fontId="14" fillId="0" borderId="0" xfId="1" applyNumberFormat="1" applyFont="1" applyFill="1" applyBorder="1" applyAlignment="1" applyProtection="1">
      <alignment horizontal="center" vertical="center"/>
    </xf>
    <xf numFmtId="170" fontId="15" fillId="0" borderId="0" xfId="1" applyNumberFormat="1" applyFont="1" applyFill="1" applyBorder="1" applyAlignment="1" applyProtection="1">
      <alignment horizontal="center" vertical="center"/>
    </xf>
    <xf numFmtId="169" fontId="15" fillId="0" borderId="0" xfId="0" applyNumberFormat="1" applyFont="1" applyAlignment="1">
      <alignment horizontal="center" vertical="center"/>
    </xf>
    <xf numFmtId="170" fontId="20" fillId="0" borderId="1" xfId="0" applyNumberFormat="1" applyFont="1" applyBorder="1" applyAlignment="1" applyProtection="1">
      <alignment horizontal="center" vertical="center"/>
      <protection locked="0"/>
    </xf>
    <xf numFmtId="170" fontId="18" fillId="0" borderId="1" xfId="0" applyNumberFormat="1" applyFont="1" applyBorder="1" applyAlignment="1" applyProtection="1">
      <alignment horizontal="center" vertical="center"/>
      <protection locked="0"/>
    </xf>
    <xf numFmtId="170" fontId="8" fillId="0" borderId="1" xfId="0" applyNumberFormat="1" applyFont="1" applyBorder="1" applyAlignment="1" applyProtection="1">
      <alignment horizontal="center" vertical="center"/>
      <protection locked="0"/>
    </xf>
    <xf numFmtId="43" fontId="8" fillId="0" borderId="0" xfId="1" applyFont="1" applyBorder="1" applyAlignment="1" applyProtection="1">
      <protection locked="0"/>
    </xf>
    <xf numFmtId="0" fontId="40" fillId="0" borderId="0" xfId="0" applyFont="1"/>
    <xf numFmtId="0" fontId="42" fillId="0" borderId="0" xfId="0" applyFont="1" applyAlignment="1" applyProtection="1">
      <alignment vertical="center"/>
      <protection locked="0"/>
    </xf>
    <xf numFmtId="182" fontId="14" fillId="0" borderId="77" xfId="0" applyNumberFormat="1" applyFont="1" applyBorder="1" applyAlignment="1">
      <alignment horizontal="center" vertical="center"/>
    </xf>
    <xf numFmtId="182" fontId="14" fillId="0" borderId="77" xfId="0" applyNumberFormat="1" applyFont="1" applyBorder="1" applyAlignment="1">
      <alignment horizontal="center"/>
    </xf>
    <xf numFmtId="182" fontId="8" fillId="0" borderId="77" xfId="0" applyNumberFormat="1" applyFont="1" applyBorder="1" applyAlignment="1">
      <alignment horizontal="center"/>
    </xf>
    <xf numFmtId="182" fontId="8" fillId="0" borderId="77" xfId="0" applyNumberFormat="1" applyFont="1" applyBorder="1" applyAlignment="1">
      <alignment horizontal="center" vertical="center"/>
    </xf>
    <xf numFmtId="182" fontId="8" fillId="0" borderId="77" xfId="0" applyNumberFormat="1" applyFont="1" applyBorder="1" applyAlignment="1" applyProtection="1">
      <alignment horizontal="center" vertical="center"/>
      <protection locked="0"/>
    </xf>
    <xf numFmtId="171" fontId="16" fillId="0" borderId="83" xfId="0" applyNumberFormat="1" applyFont="1" applyBorder="1" applyAlignment="1" applyProtection="1">
      <alignment horizontal="center" vertical="center"/>
      <protection locked="0"/>
    </xf>
    <xf numFmtId="169" fontId="19" fillId="0" borderId="83" xfId="0" applyNumberFormat="1" applyFont="1" applyBorder="1" applyAlignment="1" applyProtection="1">
      <alignment horizontal="center" vertical="center"/>
      <protection locked="0"/>
    </xf>
    <xf numFmtId="9" fontId="8" fillId="0" borderId="83" xfId="0" applyNumberFormat="1" applyFont="1" applyBorder="1" applyAlignment="1" applyProtection="1">
      <alignment horizontal="center" vertical="center"/>
      <protection locked="0"/>
    </xf>
    <xf numFmtId="0" fontId="20" fillId="0" borderId="83" xfId="0" applyFont="1" applyBorder="1" applyAlignment="1" applyProtection="1">
      <alignment horizontal="center" vertical="center"/>
      <protection locked="0"/>
    </xf>
    <xf numFmtId="0" fontId="74" fillId="0" borderId="0" xfId="0" applyFont="1"/>
    <xf numFmtId="0" fontId="21" fillId="5" borderId="70" xfId="0" applyFont="1" applyFill="1" applyBorder="1" applyAlignment="1">
      <alignment vertical="center"/>
    </xf>
    <xf numFmtId="10" fontId="15" fillId="0" borderId="5" xfId="2" applyNumberFormat="1" applyFont="1" applyBorder="1" applyAlignment="1" applyProtection="1">
      <alignment horizontal="center" vertical="center"/>
    </xf>
    <xf numFmtId="0" fontId="51" fillId="0" borderId="0" xfId="0" applyFont="1" applyAlignment="1">
      <alignment horizontal="center" vertical="center"/>
    </xf>
    <xf numFmtId="171" fontId="18" fillId="0" borderId="5" xfId="0" applyNumberFormat="1" applyFont="1" applyBorder="1" applyAlignment="1">
      <alignment horizontal="center" vertical="center"/>
    </xf>
    <xf numFmtId="0" fontId="8" fillId="0" borderId="14" xfId="0" applyFont="1" applyBorder="1" applyAlignment="1" applyProtection="1">
      <alignment horizontal="center" vertical="center"/>
      <protection locked="0"/>
    </xf>
    <xf numFmtId="0" fontId="8" fillId="0" borderId="23" xfId="0" applyFont="1" applyBorder="1" applyAlignment="1" applyProtection="1">
      <alignment horizontal="center" vertical="center"/>
      <protection locked="0"/>
    </xf>
    <xf numFmtId="167" fontId="14" fillId="0" borderId="77" xfId="0" applyNumberFormat="1" applyFont="1" applyBorder="1" applyAlignment="1">
      <alignment horizontal="center" vertical="center"/>
    </xf>
    <xf numFmtId="182" fontId="18" fillId="0" borderId="0" xfId="0" applyNumberFormat="1" applyFont="1"/>
    <xf numFmtId="0" fontId="45" fillId="0" borderId="0" xfId="0" applyFont="1" applyAlignment="1">
      <alignment horizontal="center" vertical="center"/>
    </xf>
    <xf numFmtId="43" fontId="46" fillId="0" borderId="0" xfId="1" applyFont="1" applyProtection="1"/>
    <xf numFmtId="0" fontId="39" fillId="0" borderId="0" xfId="0" applyFont="1"/>
    <xf numFmtId="43" fontId="47" fillId="0" borderId="0" xfId="1" applyFont="1" applyProtection="1"/>
    <xf numFmtId="182" fontId="32" fillId="0" borderId="0" xfId="0" applyNumberFormat="1" applyFont="1"/>
    <xf numFmtId="0" fontId="46" fillId="0" borderId="0" xfId="0" applyFont="1"/>
    <xf numFmtId="182" fontId="8" fillId="0" borderId="1" xfId="0" applyNumberFormat="1" applyFont="1" applyBorder="1"/>
    <xf numFmtId="170" fontId="18" fillId="0" borderId="1" xfId="0" applyNumberFormat="1" applyFont="1" applyBorder="1" applyAlignment="1">
      <alignment horizontal="center" vertical="center"/>
    </xf>
    <xf numFmtId="178" fontId="32" fillId="0" borderId="0" xfId="0" applyNumberFormat="1" applyFont="1"/>
    <xf numFmtId="0" fontId="48" fillId="0" borderId="0" xfId="0" applyFont="1" applyAlignment="1" applyProtection="1">
      <alignment horizontal="center" vertical="center"/>
      <protection locked="0"/>
    </xf>
    <xf numFmtId="0" fontId="48" fillId="0" borderId="0" xfId="5" applyNumberFormat="1" applyFont="1" applyBorder="1" applyAlignment="1" applyProtection="1">
      <alignment horizontal="center" vertical="center" wrapText="1"/>
      <protection locked="0"/>
    </xf>
    <xf numFmtId="0" fontId="81" fillId="0" borderId="0" xfId="0" applyFont="1"/>
    <xf numFmtId="0" fontId="82" fillId="0" borderId="0" xfId="0" applyFont="1" applyAlignment="1">
      <alignment horizontal="center"/>
    </xf>
    <xf numFmtId="183" fontId="83" fillId="0" borderId="0" xfId="0" applyNumberFormat="1" applyFont="1"/>
    <xf numFmtId="0" fontId="84" fillId="0" borderId="0" xfId="0" applyFont="1"/>
    <xf numFmtId="0" fontId="85" fillId="0" borderId="0" xfId="0" applyFont="1" applyAlignment="1">
      <alignment horizontal="center"/>
    </xf>
    <xf numFmtId="183" fontId="83" fillId="0" borderId="0" xfId="0" applyNumberFormat="1" applyFont="1" applyAlignment="1">
      <alignment horizontal="center"/>
    </xf>
    <xf numFmtId="9" fontId="86" fillId="0" borderId="0" xfId="0" applyNumberFormat="1" applyFont="1" applyAlignment="1">
      <alignment horizontal="center"/>
    </xf>
    <xf numFmtId="184" fontId="85" fillId="0" borderId="0" xfId="0" applyNumberFormat="1" applyFont="1" applyAlignment="1">
      <alignment horizontal="center"/>
    </xf>
    <xf numFmtId="183" fontId="82" fillId="0" borderId="12" xfId="0" applyNumberFormat="1" applyFont="1" applyBorder="1"/>
    <xf numFmtId="9" fontId="82" fillId="0" borderId="12" xfId="0" applyNumberFormat="1" applyFont="1" applyBorder="1" applyAlignment="1">
      <alignment horizontal="center"/>
    </xf>
    <xf numFmtId="183" fontId="82" fillId="0" borderId="94" xfId="0" applyNumberFormat="1" applyFont="1" applyBorder="1"/>
    <xf numFmtId="0" fontId="82" fillId="0" borderId="0" xfId="0" applyFont="1" applyAlignment="1">
      <alignment horizontal="left"/>
    </xf>
    <xf numFmtId="183" fontId="82" fillId="0" borderId="0" xfId="0" applyNumberFormat="1" applyFont="1"/>
    <xf numFmtId="10" fontId="82" fillId="0" borderId="0" xfId="2" applyNumberFormat="1" applyFont="1" applyAlignment="1">
      <alignment horizontal="center"/>
    </xf>
    <xf numFmtId="10" fontId="0" fillId="0" borderId="0" xfId="2" applyNumberFormat="1" applyFont="1"/>
    <xf numFmtId="10" fontId="91" fillId="0" borderId="0" xfId="2" applyNumberFormat="1" applyFont="1" applyAlignment="1">
      <alignment horizontal="center"/>
    </xf>
    <xf numFmtId="0" fontId="92" fillId="0" borderId="0" xfId="0" applyFont="1"/>
    <xf numFmtId="0" fontId="91" fillId="0" borderId="0" xfId="0" applyFont="1" applyAlignment="1">
      <alignment horizontal="center"/>
    </xf>
    <xf numFmtId="0" fontId="14" fillId="0" borderId="1" xfId="0" applyFont="1" applyBorder="1"/>
    <xf numFmtId="171" fontId="18" fillId="0" borderId="1" xfId="0" applyNumberFormat="1" applyFont="1" applyBorder="1" applyAlignment="1">
      <alignment horizontal="center" vertical="center"/>
    </xf>
    <xf numFmtId="0" fontId="15" fillId="0" borderId="1" xfId="0" applyFont="1" applyBorder="1"/>
    <xf numFmtId="43" fontId="26" fillId="0" borderId="16" xfId="1" applyFont="1" applyBorder="1" applyAlignment="1"/>
    <xf numFmtId="0" fontId="80" fillId="0" borderId="0" xfId="0" applyFont="1" applyAlignment="1">
      <alignment horizontal="center" vertical="center"/>
    </xf>
    <xf numFmtId="9" fontId="80" fillId="0" borderId="0" xfId="0" applyNumberFormat="1" applyFont="1" applyAlignment="1">
      <alignment horizontal="center" vertical="center"/>
    </xf>
    <xf numFmtId="0" fontId="94" fillId="3" borderId="0" xfId="0" applyFont="1" applyFill="1" applyAlignment="1">
      <alignment vertical="center"/>
    </xf>
    <xf numFmtId="0" fontId="95" fillId="3" borderId="0" xfId="0" applyFont="1" applyFill="1" applyAlignment="1">
      <alignment vertical="center"/>
    </xf>
    <xf numFmtId="171" fontId="14" fillId="0" borderId="5" xfId="2" applyNumberFormat="1" applyFont="1" applyBorder="1" applyAlignment="1" applyProtection="1">
      <alignment horizontal="center" vertical="center"/>
    </xf>
    <xf numFmtId="0" fontId="10" fillId="5" borderId="75" xfId="0" applyFont="1" applyFill="1" applyBorder="1" applyAlignment="1">
      <alignment horizontal="left" vertical="center"/>
    </xf>
    <xf numFmtId="0" fontId="8" fillId="0" borderId="17" xfId="0" applyFont="1" applyBorder="1" applyAlignment="1">
      <alignment vertical="center"/>
    </xf>
    <xf numFmtId="0" fontId="81" fillId="0" borderId="103" xfId="0" applyFont="1" applyBorder="1" applyAlignment="1">
      <alignment horizontal="center" vertical="center"/>
    </xf>
    <xf numFmtId="0" fontId="81" fillId="0" borderId="101" xfId="0" applyFont="1" applyBorder="1" applyAlignment="1">
      <alignment horizontal="center" vertical="center"/>
    </xf>
    <xf numFmtId="0" fontId="87" fillId="0" borderId="101" xfId="0" applyFont="1" applyBorder="1" applyAlignment="1">
      <alignment horizontal="center" vertical="center"/>
    </xf>
    <xf numFmtId="0" fontId="87" fillId="0" borderId="101" xfId="0" applyFont="1" applyBorder="1" applyAlignment="1">
      <alignment horizontal="center" vertical="center" wrapText="1"/>
    </xf>
    <xf numFmtId="10" fontId="87" fillId="0" borderId="101" xfId="2" applyNumberFormat="1" applyFont="1" applyBorder="1" applyAlignment="1">
      <alignment horizontal="center" vertical="center"/>
    </xf>
    <xf numFmtId="183" fontId="88" fillId="0" borderId="1" xfId="0" applyNumberFormat="1" applyFont="1" applyBorder="1" applyAlignment="1">
      <alignment horizontal="center"/>
    </xf>
    <xf numFmtId="0" fontId="8" fillId="0" borderId="29" xfId="0" applyFont="1" applyBorder="1" applyAlignment="1">
      <alignment horizontal="center" vertical="center"/>
    </xf>
    <xf numFmtId="0" fontId="16" fillId="0" borderId="23" xfId="0" applyFont="1" applyBorder="1" applyAlignment="1">
      <alignment horizontal="center" vertical="center"/>
    </xf>
    <xf numFmtId="185" fontId="17" fillId="0" borderId="0" xfId="1" applyNumberFormat="1" applyFont="1" applyFill="1"/>
    <xf numFmtId="0" fontId="96" fillId="0" borderId="104" xfId="0" applyFont="1" applyBorder="1" applyAlignment="1">
      <alignment horizontal="center" vertical="center" wrapText="1"/>
    </xf>
    <xf numFmtId="0" fontId="96" fillId="0" borderId="105" xfId="0" applyFont="1" applyBorder="1" applyAlignment="1">
      <alignment horizontal="center" vertical="center" wrapText="1"/>
    </xf>
    <xf numFmtId="0" fontId="88" fillId="15" borderId="1" xfId="0" applyFont="1" applyFill="1" applyBorder="1" applyAlignment="1">
      <alignment horizontal="center"/>
    </xf>
    <xf numFmtId="183" fontId="88" fillId="15" borderId="1" xfId="0" applyNumberFormat="1" applyFont="1" applyFill="1" applyBorder="1" applyAlignment="1">
      <alignment horizontal="center"/>
    </xf>
    <xf numFmtId="0" fontId="88" fillId="0" borderId="1" xfId="0" applyFont="1" applyBorder="1" applyAlignment="1">
      <alignment horizontal="center"/>
    </xf>
    <xf numFmtId="0" fontId="97" fillId="0" borderId="12" xfId="0" applyFont="1" applyBorder="1"/>
    <xf numFmtId="43" fontId="97" fillId="0" borderId="1" xfId="1" quotePrefix="1" applyFont="1" applyFill="1" applyBorder="1" applyAlignment="1">
      <alignment horizontal="center"/>
    </xf>
    <xf numFmtId="0" fontId="97" fillId="0" borderId="1" xfId="0" quotePrefix="1" applyFont="1" applyBorder="1" applyAlignment="1">
      <alignment horizontal="center"/>
    </xf>
    <xf numFmtId="0" fontId="97" fillId="0" borderId="12" xfId="0" applyFont="1" applyBorder="1" applyAlignment="1">
      <alignment horizontal="center"/>
    </xf>
    <xf numFmtId="0" fontId="23" fillId="0" borderId="1" xfId="0" applyFont="1" applyBorder="1" applyAlignment="1">
      <alignment horizontal="center"/>
    </xf>
    <xf numFmtId="183" fontId="88" fillId="0" borderId="12" xfId="0" applyNumberFormat="1" applyFont="1" applyBorder="1"/>
    <xf numFmtId="10" fontId="88" fillId="0" borderId="1" xfId="2" applyNumberFormat="1" applyFont="1" applyFill="1" applyBorder="1" applyAlignment="1">
      <alignment horizontal="center"/>
    </xf>
    <xf numFmtId="183" fontId="88" fillId="0" borderId="98" xfId="0" applyNumberFormat="1" applyFont="1" applyBorder="1"/>
    <xf numFmtId="0" fontId="97" fillId="0" borderId="1" xfId="0" applyFont="1" applyBorder="1" applyAlignment="1">
      <alignment horizontal="center"/>
    </xf>
    <xf numFmtId="0" fontId="87" fillId="0" borderId="109" xfId="0" applyFont="1" applyBorder="1"/>
    <xf numFmtId="183" fontId="87" fillId="0" borderId="110" xfId="0" applyNumberFormat="1" applyFont="1" applyBorder="1"/>
    <xf numFmtId="0" fontId="82" fillId="0" borderId="110" xfId="0" applyFont="1" applyBorder="1"/>
    <xf numFmtId="0" fontId="82" fillId="0" borderId="111" xfId="0" applyFont="1" applyBorder="1"/>
    <xf numFmtId="0" fontId="82" fillId="0" borderId="112" xfId="0" applyFont="1" applyBorder="1"/>
    <xf numFmtId="0" fontId="87" fillId="0" borderId="12" xfId="0" applyFont="1" applyBorder="1" applyAlignment="1">
      <alignment horizontal="center"/>
    </xf>
    <xf numFmtId="0" fontId="87" fillId="0" borderId="94" xfId="0" applyFont="1" applyBorder="1" applyAlignment="1">
      <alignment horizontal="center"/>
    </xf>
    <xf numFmtId="0" fontId="82" fillId="0" borderId="12" xfId="0" applyFont="1" applyBorder="1" applyAlignment="1">
      <alignment horizontal="center"/>
    </xf>
    <xf numFmtId="0" fontId="87" fillId="0" borderId="113" xfId="0" applyFont="1" applyBorder="1"/>
    <xf numFmtId="0" fontId="87" fillId="0" borderId="96" xfId="0" applyFont="1" applyBorder="1" applyAlignment="1">
      <alignment horizontal="center"/>
    </xf>
    <xf numFmtId="9" fontId="87" fillId="0" borderId="96" xfId="0" applyNumberFormat="1" applyFont="1" applyBorder="1" applyAlignment="1">
      <alignment horizontal="center"/>
    </xf>
    <xf numFmtId="183" fontId="87" fillId="0" borderId="96" xfId="0" applyNumberFormat="1" applyFont="1" applyBorder="1"/>
    <xf numFmtId="0" fontId="87" fillId="0" borderId="97" xfId="0" applyFont="1" applyBorder="1"/>
    <xf numFmtId="0" fontId="82" fillId="0" borderId="114" xfId="0" applyFont="1" applyBorder="1"/>
    <xf numFmtId="0" fontId="82" fillId="0" borderId="0" xfId="0" applyFont="1"/>
    <xf numFmtId="0" fontId="82" fillId="0" borderId="115" xfId="0" applyFont="1" applyBorder="1"/>
    <xf numFmtId="0" fontId="82" fillId="0" borderId="116" xfId="0" applyFont="1" applyBorder="1"/>
    <xf numFmtId="0" fontId="82" fillId="0" borderId="117" xfId="0" applyFont="1" applyBorder="1"/>
    <xf numFmtId="0" fontId="82" fillId="0" borderId="118" xfId="0" applyFont="1" applyBorder="1"/>
    <xf numFmtId="183" fontId="88" fillId="0" borderId="95" xfId="0" applyNumberFormat="1" applyFont="1" applyBorder="1"/>
    <xf numFmtId="0" fontId="97" fillId="15" borderId="12" xfId="0" applyFont="1" applyFill="1" applyBorder="1"/>
    <xf numFmtId="43" fontId="97" fillId="15" borderId="1" xfId="1" quotePrefix="1" applyFont="1" applyFill="1" applyBorder="1" applyAlignment="1">
      <alignment horizontal="center"/>
    </xf>
    <xf numFmtId="0" fontId="97" fillId="15" borderId="1" xfId="0" quotePrefix="1" applyFont="1" applyFill="1" applyBorder="1" applyAlignment="1">
      <alignment horizontal="center"/>
    </xf>
    <xf numFmtId="0" fontId="97" fillId="15" borderId="12" xfId="0" applyFont="1" applyFill="1" applyBorder="1" applyAlignment="1">
      <alignment horizontal="center"/>
    </xf>
    <xf numFmtId="0" fontId="23" fillId="15" borderId="1" xfId="0" applyFont="1" applyFill="1" applyBorder="1" applyAlignment="1">
      <alignment horizontal="center"/>
    </xf>
    <xf numFmtId="183" fontId="88" fillId="15" borderId="12" xfId="0" applyNumberFormat="1" applyFont="1" applyFill="1" applyBorder="1"/>
    <xf numFmtId="10" fontId="88" fillId="15" borderId="1" xfId="2" applyNumberFormat="1" applyFont="1" applyFill="1" applyBorder="1" applyAlignment="1">
      <alignment horizontal="center"/>
    </xf>
    <xf numFmtId="183" fontId="88" fillId="15" borderId="98" xfId="0" applyNumberFormat="1" applyFont="1" applyFill="1" applyBorder="1"/>
    <xf numFmtId="0" fontId="87" fillId="0" borderId="110" xfId="0" applyFont="1" applyBorder="1"/>
    <xf numFmtId="0" fontId="82" fillId="0" borderId="95" xfId="0" applyFont="1" applyBorder="1"/>
    <xf numFmtId="0" fontId="87" fillId="0" borderId="100" xfId="0" applyFont="1" applyBorder="1"/>
    <xf numFmtId="0" fontId="82" fillId="3" borderId="95" xfId="0" applyFont="1" applyFill="1" applyBorder="1"/>
    <xf numFmtId="10" fontId="8" fillId="0" borderId="5" xfId="0" applyNumberFormat="1" applyFont="1" applyBorder="1" applyAlignment="1" applyProtection="1">
      <alignment horizontal="center" vertical="center"/>
      <protection locked="0"/>
    </xf>
    <xf numFmtId="0" fontId="9" fillId="0" borderId="1" xfId="0" applyFont="1" applyBorder="1"/>
    <xf numFmtId="0" fontId="12" fillId="0" borderId="1" xfId="0" applyFont="1" applyBorder="1"/>
    <xf numFmtId="171" fontId="21" fillId="0" borderId="5" xfId="0" applyNumberFormat="1" applyFont="1" applyBorder="1" applyAlignment="1">
      <alignment horizontal="center" vertical="center"/>
    </xf>
    <xf numFmtId="171" fontId="21" fillId="0" borderId="1" xfId="0" applyNumberFormat="1" applyFont="1" applyBorder="1" applyAlignment="1">
      <alignment horizontal="center" vertical="center"/>
    </xf>
    <xf numFmtId="0" fontId="0" fillId="0" borderId="1" xfId="0" applyBorder="1" applyAlignment="1">
      <alignment horizontal="center"/>
    </xf>
    <xf numFmtId="0" fontId="0" fillId="0" borderId="1" xfId="0" applyBorder="1"/>
    <xf numFmtId="0" fontId="98" fillId="0" borderId="0" xfId="0" applyFont="1" applyAlignment="1">
      <alignment horizontal="center"/>
    </xf>
    <xf numFmtId="0" fontId="3" fillId="0" borderId="1" xfId="0" applyFont="1" applyBorder="1" applyAlignment="1">
      <alignment horizontal="center" vertical="center"/>
    </xf>
    <xf numFmtId="0" fontId="0" fillId="15" borderId="1" xfId="0" applyFill="1" applyBorder="1" applyAlignment="1">
      <alignment horizontal="center"/>
    </xf>
    <xf numFmtId="0" fontId="99" fillId="0" borderId="0" xfId="0" applyFont="1"/>
    <xf numFmtId="0" fontId="0" fillId="3" borderId="0" xfId="0" applyFill="1"/>
    <xf numFmtId="169" fontId="20" fillId="0" borderId="7" xfId="0" applyNumberFormat="1" applyFont="1" applyBorder="1" applyAlignment="1" applyProtection="1">
      <alignment horizontal="left" vertical="center"/>
      <protection locked="0"/>
    </xf>
    <xf numFmtId="169" fontId="20" fillId="0" borderId="8" xfId="0" applyNumberFormat="1" applyFont="1" applyBorder="1" applyAlignment="1" applyProtection="1">
      <alignment horizontal="left" vertical="center"/>
      <protection locked="0"/>
    </xf>
    <xf numFmtId="169" fontId="20" fillId="0" borderId="9" xfId="0" applyNumberFormat="1" applyFont="1" applyBorder="1" applyAlignment="1" applyProtection="1">
      <alignment horizontal="left" vertical="center"/>
      <protection locked="0"/>
    </xf>
    <xf numFmtId="0" fontId="13" fillId="5" borderId="6" xfId="0" applyFont="1" applyFill="1" applyBorder="1" applyAlignment="1" applyProtection="1">
      <alignment horizontal="right" vertical="center"/>
      <protection locked="0"/>
    </xf>
    <xf numFmtId="169" fontId="33" fillId="0" borderId="1" xfId="0" applyNumberFormat="1" applyFont="1" applyBorder="1" applyAlignment="1">
      <alignment horizontal="center" vertical="center"/>
    </xf>
    <xf numFmtId="0" fontId="7" fillId="5" borderId="1" xfId="0" applyFont="1" applyFill="1" applyBorder="1" applyAlignment="1" applyProtection="1">
      <alignment horizontal="center" vertical="center"/>
      <protection locked="0"/>
    </xf>
    <xf numFmtId="167" fontId="14" fillId="0" borderId="0" xfId="0" applyNumberFormat="1" applyFont="1" applyAlignment="1">
      <alignment horizontal="center" vertical="center"/>
    </xf>
    <xf numFmtId="167" fontId="15" fillId="0" borderId="0" xfId="0" applyNumberFormat="1" applyFont="1" applyAlignment="1">
      <alignment horizontal="center" vertical="center"/>
    </xf>
    <xf numFmtId="182" fontId="14" fillId="0" borderId="0" xfId="0" applyNumberFormat="1" applyFont="1"/>
    <xf numFmtId="169" fontId="18" fillId="0" borderId="5" xfId="0" applyNumberFormat="1" applyFont="1" applyBorder="1" applyAlignment="1">
      <alignment vertical="center"/>
    </xf>
    <xf numFmtId="182" fontId="15" fillId="0" borderId="0" xfId="0" applyNumberFormat="1" applyFont="1"/>
    <xf numFmtId="0" fontId="33" fillId="0" borderId="0" xfId="0" applyFont="1"/>
    <xf numFmtId="169" fontId="33" fillId="0" borderId="25" xfId="0" applyNumberFormat="1" applyFont="1" applyBorder="1" applyAlignment="1">
      <alignment vertical="center"/>
    </xf>
    <xf numFmtId="182" fontId="14" fillId="0" borderId="1" xfId="0" applyNumberFormat="1" applyFont="1" applyBorder="1" applyAlignment="1">
      <alignment horizontal="center" vertical="center"/>
    </xf>
    <xf numFmtId="169" fontId="14" fillId="0" borderId="18" xfId="0" applyNumberFormat="1" applyFont="1" applyBorder="1" applyAlignment="1">
      <alignment horizontal="left" vertical="center"/>
    </xf>
    <xf numFmtId="0" fontId="14" fillId="0" borderId="35" xfId="0" applyFont="1" applyBorder="1" applyAlignment="1">
      <alignment vertical="center"/>
    </xf>
    <xf numFmtId="182" fontId="15" fillId="0" borderId="1" xfId="0" applyNumberFormat="1" applyFont="1" applyBorder="1" applyAlignment="1">
      <alignment horizontal="center"/>
    </xf>
    <xf numFmtId="182" fontId="14" fillId="0" borderId="1" xfId="0" applyNumberFormat="1" applyFont="1" applyBorder="1" applyAlignment="1">
      <alignment horizontal="center"/>
    </xf>
    <xf numFmtId="171" fontId="21" fillId="0" borderId="43" xfId="0" applyNumberFormat="1" applyFont="1" applyBorder="1" applyAlignment="1">
      <alignment horizontal="center" vertical="center"/>
    </xf>
    <xf numFmtId="0" fontId="14" fillId="0" borderId="23" xfId="0" applyFont="1" applyBorder="1"/>
    <xf numFmtId="182" fontId="14" fillId="0" borderId="1" xfId="0" applyNumberFormat="1" applyFont="1" applyBorder="1"/>
    <xf numFmtId="0" fontId="14" fillId="0" borderId="10" xfId="0" applyFont="1" applyBorder="1" applyAlignment="1">
      <alignment horizontal="center" vertical="center"/>
    </xf>
    <xf numFmtId="169" fontId="14" fillId="0" borderId="42" xfId="0" applyNumberFormat="1" applyFont="1" applyBorder="1" applyAlignment="1">
      <alignment horizontal="left" vertical="center"/>
    </xf>
    <xf numFmtId="169" fontId="14" fillId="0" borderId="8" xfId="0" applyNumberFormat="1" applyFont="1" applyBorder="1" applyAlignment="1">
      <alignment horizontal="left" vertical="center"/>
    </xf>
    <xf numFmtId="0" fontId="15" fillId="0" borderId="25" xfId="0" applyFont="1" applyBorder="1"/>
    <xf numFmtId="171" fontId="15" fillId="0" borderId="83" xfId="0" applyNumberFormat="1" applyFont="1" applyBorder="1" applyAlignment="1">
      <alignment horizontal="center" vertical="center"/>
    </xf>
    <xf numFmtId="169" fontId="33" fillId="0" borderId="83" xfId="0" applyNumberFormat="1" applyFont="1" applyBorder="1" applyAlignment="1">
      <alignment horizontal="center" vertical="center"/>
    </xf>
    <xf numFmtId="9" fontId="14" fillId="0" borderId="83" xfId="0" applyNumberFormat="1" applyFont="1" applyBorder="1" applyAlignment="1">
      <alignment horizontal="center" vertical="center"/>
    </xf>
    <xf numFmtId="0" fontId="18" fillId="0" borderId="83" xfId="0" applyFont="1" applyBorder="1" applyAlignment="1">
      <alignment horizontal="center" vertical="center"/>
    </xf>
    <xf numFmtId="0" fontId="17" fillId="0" borderId="0" xfId="0" applyFont="1"/>
    <xf numFmtId="0" fontId="18" fillId="0" borderId="5" xfId="0" applyFont="1" applyBorder="1" applyAlignment="1">
      <alignment horizontal="center" vertical="center"/>
    </xf>
    <xf numFmtId="169" fontId="14" fillId="0" borderId="5" xfId="1" applyNumberFormat="1" applyFont="1" applyBorder="1" applyAlignment="1" applyProtection="1">
      <alignment horizontal="center" vertical="center"/>
    </xf>
    <xf numFmtId="0" fontId="14" fillId="0" borderId="0" xfId="0" applyFont="1" applyAlignment="1">
      <alignment horizontal="right"/>
    </xf>
    <xf numFmtId="0" fontId="18" fillId="0" borderId="0" xfId="3" applyFont="1"/>
    <xf numFmtId="0" fontId="71" fillId="0" borderId="0" xfId="3" applyFont="1"/>
    <xf numFmtId="0" fontId="43" fillId="0" borderId="0" xfId="0" applyFont="1"/>
    <xf numFmtId="182" fontId="14" fillId="0" borderId="0" xfId="0" applyNumberFormat="1" applyFont="1" applyAlignment="1">
      <alignment horizontal="center"/>
    </xf>
    <xf numFmtId="0" fontId="100" fillId="0" borderId="0" xfId="0" applyFont="1" applyAlignment="1">
      <alignment vertical="center"/>
    </xf>
    <xf numFmtId="43" fontId="14" fillId="0" borderId="0" xfId="1" applyFont="1" applyBorder="1" applyAlignment="1" applyProtection="1"/>
    <xf numFmtId="0" fontId="14" fillId="0" borderId="16" xfId="0" applyFont="1" applyBorder="1"/>
    <xf numFmtId="169" fontId="18" fillId="0" borderId="7" xfId="0" applyNumberFormat="1" applyFont="1" applyBorder="1" applyAlignment="1">
      <alignment horizontal="left" vertical="center"/>
    </xf>
    <xf numFmtId="169" fontId="18" fillId="0" borderId="8" xfId="0" applyNumberFormat="1" applyFont="1" applyBorder="1" applyAlignment="1">
      <alignment horizontal="left" vertical="center"/>
    </xf>
    <xf numFmtId="169" fontId="18" fillId="0" borderId="9" xfId="0" applyNumberFormat="1" applyFont="1" applyBorder="1" applyAlignment="1">
      <alignment horizontal="left" vertical="center"/>
    </xf>
    <xf numFmtId="10" fontId="14" fillId="0" borderId="5" xfId="0" applyNumberFormat="1" applyFont="1" applyBorder="1" applyAlignment="1" applyProtection="1">
      <alignment horizontal="center" vertical="center"/>
      <protection locked="0"/>
    </xf>
    <xf numFmtId="0" fontId="101" fillId="0" borderId="0" xfId="0" applyFont="1" applyAlignment="1">
      <alignment vertical="center"/>
    </xf>
    <xf numFmtId="0" fontId="102" fillId="0" borderId="0" xfId="0" applyFont="1" applyAlignment="1">
      <alignment horizontal="center" vertical="center"/>
    </xf>
    <xf numFmtId="0" fontId="101" fillId="0" borderId="0" xfId="0" applyFont="1"/>
    <xf numFmtId="0" fontId="101" fillId="4" borderId="0" xfId="0" applyFont="1" applyFill="1"/>
    <xf numFmtId="168" fontId="101" fillId="0" borderId="0" xfId="0" applyNumberFormat="1" applyFont="1" applyAlignment="1">
      <alignment horizontal="center"/>
    </xf>
    <xf numFmtId="10" fontId="101" fillId="0" borderId="0" xfId="0" applyNumberFormat="1" applyFont="1" applyAlignment="1">
      <alignment horizontal="center"/>
    </xf>
    <xf numFmtId="49" fontId="101" fillId="0" borderId="0" xfId="0" applyNumberFormat="1" applyFont="1" applyAlignment="1">
      <alignment horizontal="center"/>
    </xf>
    <xf numFmtId="0" fontId="35" fillId="0" borderId="0" xfId="0" applyFont="1"/>
    <xf numFmtId="0" fontId="11" fillId="0" borderId="0" xfId="0" applyFont="1" applyAlignment="1">
      <alignment horizontal="center" vertical="center"/>
    </xf>
    <xf numFmtId="0" fontId="103" fillId="0" borderId="0" xfId="0" applyFont="1" applyAlignment="1">
      <alignment horizontal="center" vertical="center"/>
    </xf>
    <xf numFmtId="0" fontId="104" fillId="0" borderId="0" xfId="0" applyFont="1"/>
    <xf numFmtId="0" fontId="105" fillId="0" borderId="0" xfId="0" applyFont="1"/>
    <xf numFmtId="0" fontId="10" fillId="5" borderId="77" xfId="0" applyFont="1" applyFill="1" applyBorder="1" applyAlignment="1">
      <alignment horizontal="center"/>
    </xf>
    <xf numFmtId="0" fontId="15" fillId="0" borderId="1" xfId="0" applyFont="1" applyBorder="1" applyAlignment="1">
      <alignment vertical="center"/>
    </xf>
    <xf numFmtId="0" fontId="106" fillId="0" borderId="0" xfId="0" applyFont="1"/>
    <xf numFmtId="168" fontId="106" fillId="0" borderId="0" xfId="0" applyNumberFormat="1" applyFont="1" applyAlignment="1">
      <alignment horizontal="center"/>
    </xf>
    <xf numFmtId="10" fontId="106" fillId="0" borderId="0" xfId="0" applyNumberFormat="1" applyFont="1" applyAlignment="1">
      <alignment horizontal="center"/>
    </xf>
    <xf numFmtId="49" fontId="106" fillId="0" borderId="0" xfId="0" applyNumberFormat="1" applyFont="1" applyAlignment="1">
      <alignment horizontal="center"/>
    </xf>
    <xf numFmtId="9" fontId="18" fillId="0" borderId="1" xfId="2" applyFont="1" applyBorder="1" applyAlignment="1" applyProtection="1">
      <alignment horizontal="center" vertical="center"/>
    </xf>
    <xf numFmtId="169" fontId="21" fillId="0" borderId="0" xfId="0" applyNumberFormat="1" applyFont="1" applyAlignment="1">
      <alignment horizontal="left" vertical="center"/>
    </xf>
    <xf numFmtId="172" fontId="15" fillId="0" borderId="0" xfId="0" applyNumberFormat="1" applyFont="1" applyAlignment="1">
      <alignment horizontal="center" vertical="center"/>
    </xf>
    <xf numFmtId="0" fontId="15" fillId="0" borderId="1" xfId="0" applyFont="1" applyBorder="1" applyAlignment="1">
      <alignment horizontal="center" vertical="center"/>
    </xf>
    <xf numFmtId="9" fontId="14" fillId="0" borderId="1" xfId="0" applyNumberFormat="1" applyFont="1" applyBorder="1" applyAlignment="1">
      <alignment horizontal="center" vertical="center"/>
    </xf>
    <xf numFmtId="43" fontId="9" fillId="0" borderId="0" xfId="1" applyFont="1" applyProtection="1"/>
    <xf numFmtId="173" fontId="17" fillId="0" borderId="0" xfId="0" applyNumberFormat="1" applyFont="1"/>
    <xf numFmtId="43" fontId="17" fillId="0" borderId="0" xfId="1" applyFont="1" applyProtection="1"/>
    <xf numFmtId="0" fontId="0" fillId="2" borderId="0" xfId="0" applyFill="1"/>
    <xf numFmtId="0" fontId="23" fillId="2" borderId="0" xfId="0" applyFont="1" applyFill="1" applyAlignment="1">
      <alignment vertical="center"/>
    </xf>
    <xf numFmtId="170" fontId="20" fillId="2" borderId="0" xfId="1" applyNumberFormat="1" applyFont="1" applyFill="1" applyBorder="1" applyAlignment="1" applyProtection="1">
      <alignment horizontal="center" vertical="center"/>
    </xf>
    <xf numFmtId="0" fontId="32" fillId="2" borderId="0" xfId="0" applyFont="1" applyFill="1"/>
    <xf numFmtId="0" fontId="14" fillId="2" borderId="0" xfId="0" applyFont="1" applyFill="1" applyAlignment="1">
      <alignment vertical="center"/>
    </xf>
    <xf numFmtId="0" fontId="4" fillId="2" borderId="0" xfId="0" applyFont="1" applyFill="1"/>
    <xf numFmtId="43" fontId="15" fillId="2" borderId="0" xfId="1" applyFont="1" applyFill="1" applyBorder="1" applyAlignment="1" applyProtection="1">
      <alignment vertical="center"/>
    </xf>
    <xf numFmtId="0" fontId="14" fillId="2" borderId="0" xfId="0" applyFont="1" applyFill="1" applyAlignment="1">
      <alignment horizontal="left" vertical="center"/>
    </xf>
    <xf numFmtId="0" fontId="0" fillId="2" borderId="0" xfId="0" applyFill="1" applyAlignment="1">
      <alignment horizontal="center"/>
    </xf>
    <xf numFmtId="43" fontId="0" fillId="2" borderId="0" xfId="1" applyFont="1" applyFill="1" applyProtection="1"/>
    <xf numFmtId="0" fontId="15" fillId="2" borderId="0" xfId="0" applyFont="1" applyFill="1" applyAlignment="1">
      <alignment vertical="center"/>
    </xf>
    <xf numFmtId="0" fontId="15" fillId="2" borderId="0" xfId="0" applyFont="1" applyFill="1" applyAlignment="1">
      <alignment horizontal="center" vertical="center"/>
    </xf>
    <xf numFmtId="0" fontId="14" fillId="2" borderId="0" xfId="0" applyFont="1" applyFill="1" applyAlignment="1">
      <alignment horizontal="center" vertical="center"/>
    </xf>
    <xf numFmtId="0" fontId="14" fillId="2" borderId="17" xfId="0" applyFont="1" applyFill="1" applyBorder="1" applyAlignment="1">
      <alignment vertical="center"/>
    </xf>
    <xf numFmtId="0" fontId="14" fillId="2" borderId="16" xfId="0" applyFont="1" applyFill="1" applyBorder="1" applyAlignment="1">
      <alignment vertical="center"/>
    </xf>
    <xf numFmtId="0" fontId="10" fillId="5" borderId="6" xfId="0" applyFont="1" applyFill="1" applyBorder="1" applyAlignment="1">
      <alignment horizontal="left" vertical="center"/>
    </xf>
    <xf numFmtId="0" fontId="9" fillId="2" borderId="0" xfId="0" applyFont="1" applyFill="1"/>
    <xf numFmtId="0" fontId="9" fillId="2" borderId="0" xfId="0" applyFont="1" applyFill="1" applyAlignment="1">
      <alignment horizontal="center"/>
    </xf>
    <xf numFmtId="170" fontId="14" fillId="2" borderId="1" xfId="1" applyNumberFormat="1" applyFont="1" applyFill="1" applyBorder="1" applyAlignment="1" applyProtection="1">
      <alignment horizontal="center" vertical="center"/>
    </xf>
    <xf numFmtId="170" fontId="18" fillId="2" borderId="0" xfId="1" applyNumberFormat="1" applyFont="1" applyFill="1" applyBorder="1" applyAlignment="1" applyProtection="1">
      <alignment horizontal="center" vertical="center"/>
    </xf>
    <xf numFmtId="43" fontId="23" fillId="2" borderId="0" xfId="1" applyFont="1" applyFill="1" applyProtection="1"/>
    <xf numFmtId="0" fontId="14" fillId="2" borderId="0" xfId="0" applyFont="1" applyFill="1"/>
    <xf numFmtId="0" fontId="14" fillId="2" borderId="0" xfId="0" applyFont="1" applyFill="1" applyAlignment="1">
      <alignment horizontal="center"/>
    </xf>
    <xf numFmtId="0" fontId="23" fillId="2" borderId="0" xfId="0" applyFont="1" applyFill="1"/>
    <xf numFmtId="0" fontId="71" fillId="2" borderId="0" xfId="0" applyFont="1" applyFill="1" applyAlignment="1">
      <alignment vertical="center"/>
    </xf>
    <xf numFmtId="43" fontId="9" fillId="2" borderId="0" xfId="1" applyFont="1" applyFill="1" applyProtection="1"/>
    <xf numFmtId="182" fontId="14" fillId="2" borderId="77" xfId="0" applyNumberFormat="1" applyFont="1" applyFill="1" applyBorder="1" applyAlignment="1">
      <alignment horizontal="center" vertical="center"/>
    </xf>
    <xf numFmtId="167" fontId="14" fillId="2" borderId="0" xfId="0" applyNumberFormat="1" applyFont="1" applyFill="1" applyAlignment="1">
      <alignment vertical="center"/>
    </xf>
    <xf numFmtId="167" fontId="14" fillId="2" borderId="77" xfId="0" applyNumberFormat="1" applyFont="1" applyFill="1" applyBorder="1" applyAlignment="1">
      <alignment horizontal="center" vertical="center"/>
    </xf>
    <xf numFmtId="182" fontId="8" fillId="2" borderId="77" xfId="0" applyNumberFormat="1" applyFont="1" applyFill="1" applyBorder="1" applyAlignment="1">
      <alignment horizontal="center" vertical="center"/>
    </xf>
    <xf numFmtId="0" fontId="18" fillId="2" borderId="0" xfId="0" applyFont="1" applyFill="1"/>
    <xf numFmtId="0" fontId="18" fillId="2" borderId="0" xfId="0" applyFont="1" applyFill="1" applyAlignment="1">
      <alignment horizontal="center"/>
    </xf>
    <xf numFmtId="0" fontId="18" fillId="2" borderId="0" xfId="0" applyFont="1" applyFill="1" applyAlignment="1">
      <alignment vertical="center"/>
    </xf>
    <xf numFmtId="0" fontId="18" fillId="2" borderId="0" xfId="0" applyFont="1" applyFill="1" applyAlignment="1">
      <alignment horizontal="center" vertical="center"/>
    </xf>
    <xf numFmtId="167" fontId="14" fillId="2" borderId="0" xfId="0" applyNumberFormat="1" applyFont="1" applyFill="1"/>
    <xf numFmtId="43" fontId="18" fillId="2" borderId="0" xfId="1" applyFont="1" applyFill="1" applyAlignment="1" applyProtection="1">
      <alignment vertical="center"/>
    </xf>
    <xf numFmtId="0" fontId="21" fillId="2" borderId="0" xfId="0" applyFont="1" applyFill="1" applyAlignment="1">
      <alignment vertical="center"/>
    </xf>
    <xf numFmtId="43" fontId="36" fillId="2" borderId="0" xfId="1" applyFont="1" applyFill="1" applyAlignment="1" applyProtection="1">
      <alignment vertical="center"/>
    </xf>
    <xf numFmtId="0" fontId="28" fillId="2" borderId="0" xfId="0" applyFont="1" applyFill="1"/>
    <xf numFmtId="0" fontId="107" fillId="2" borderId="0" xfId="0" applyFont="1" applyFill="1" applyAlignment="1">
      <alignment vertical="center"/>
    </xf>
    <xf numFmtId="0" fontId="106" fillId="2" borderId="0" xfId="0" applyFont="1" applyFill="1"/>
    <xf numFmtId="168" fontId="106" fillId="2" borderId="0" xfId="0" applyNumberFormat="1" applyFont="1" applyFill="1" applyAlignment="1">
      <alignment horizontal="center"/>
    </xf>
    <xf numFmtId="10" fontId="106" fillId="2" borderId="0" xfId="0" applyNumberFormat="1" applyFont="1" applyFill="1" applyAlignment="1">
      <alignment horizontal="center"/>
    </xf>
    <xf numFmtId="49" fontId="106" fillId="2" borderId="0" xfId="0" applyNumberFormat="1" applyFont="1" applyFill="1" applyAlignment="1">
      <alignment horizontal="center"/>
    </xf>
    <xf numFmtId="43" fontId="14" fillId="2" borderId="0" xfId="1" applyFont="1" applyFill="1" applyAlignment="1" applyProtection="1">
      <alignment vertical="center"/>
    </xf>
    <xf numFmtId="169" fontId="33" fillId="2" borderId="1" xfId="0" applyNumberFormat="1" applyFont="1" applyFill="1" applyBorder="1" applyAlignment="1">
      <alignment horizontal="center" vertical="center"/>
    </xf>
    <xf numFmtId="170" fontId="28" fillId="2" borderId="0" xfId="0" applyNumberFormat="1" applyFont="1" applyFill="1" applyAlignment="1">
      <alignment horizontal="center"/>
    </xf>
    <xf numFmtId="171" fontId="33" fillId="2" borderId="1" xfId="2" applyNumberFormat="1" applyFont="1" applyFill="1" applyBorder="1" applyAlignment="1" applyProtection="1">
      <alignment horizontal="center" vertical="center"/>
      <protection locked="0"/>
    </xf>
    <xf numFmtId="9" fontId="18" fillId="2" borderId="1" xfId="2" applyFont="1" applyFill="1" applyBorder="1" applyAlignment="1" applyProtection="1">
      <alignment horizontal="center" vertical="center"/>
    </xf>
    <xf numFmtId="9" fontId="33" fillId="2" borderId="1" xfId="2" applyFont="1" applyFill="1" applyBorder="1" applyAlignment="1" applyProtection="1">
      <alignment horizontal="center" vertical="center"/>
    </xf>
    <xf numFmtId="0" fontId="18" fillId="2" borderId="0" xfId="0" applyFont="1" applyFill="1" applyAlignment="1">
      <alignment horizontal="left" vertical="center"/>
    </xf>
    <xf numFmtId="169" fontId="14" fillId="2" borderId="0" xfId="0" applyNumberFormat="1" applyFont="1" applyFill="1" applyAlignment="1">
      <alignment horizontal="left" vertical="center"/>
    </xf>
    <xf numFmtId="169" fontId="21" fillId="2" borderId="0" xfId="0" applyNumberFormat="1" applyFont="1" applyFill="1" applyAlignment="1">
      <alignment horizontal="left" vertical="center"/>
    </xf>
    <xf numFmtId="0" fontId="15" fillId="2" borderId="23" xfId="0" applyFont="1" applyFill="1" applyBorder="1"/>
    <xf numFmtId="182" fontId="14" fillId="2" borderId="1" xfId="0" applyNumberFormat="1" applyFont="1" applyFill="1" applyBorder="1"/>
    <xf numFmtId="171" fontId="14" fillId="2" borderId="1" xfId="0" applyNumberFormat="1" applyFont="1" applyFill="1" applyBorder="1" applyAlignment="1">
      <alignment horizontal="center" vertical="center"/>
    </xf>
    <xf numFmtId="0" fontId="12" fillId="2" borderId="0" xfId="0" applyFont="1" applyFill="1"/>
    <xf numFmtId="171" fontId="21" fillId="2" borderId="1" xfId="0" applyNumberFormat="1" applyFont="1" applyFill="1" applyBorder="1" applyAlignment="1">
      <alignment horizontal="center" vertical="center"/>
    </xf>
    <xf numFmtId="0" fontId="15"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10" fillId="2" borderId="56" xfId="0" applyFont="1" applyFill="1" applyBorder="1" applyAlignment="1">
      <alignment horizontal="left" vertical="center"/>
    </xf>
    <xf numFmtId="0" fontId="10" fillId="2" borderId="56" xfId="0" applyFont="1" applyFill="1" applyBorder="1" applyAlignment="1">
      <alignment vertical="center"/>
    </xf>
    <xf numFmtId="169" fontId="33" fillId="2" borderId="0" xfId="0" applyNumberFormat="1" applyFont="1" applyFill="1" applyAlignment="1">
      <alignment horizontal="left" vertical="center"/>
    </xf>
    <xf numFmtId="0" fontId="33" fillId="2" borderId="0" xfId="0" applyFont="1" applyFill="1" applyAlignment="1">
      <alignment vertical="center"/>
    </xf>
    <xf numFmtId="0" fontId="71" fillId="2" borderId="0" xfId="3" applyFont="1" applyFill="1" applyAlignment="1">
      <alignment vertical="center"/>
    </xf>
    <xf numFmtId="0" fontId="18" fillId="0" borderId="39" xfId="0" applyFont="1" applyBorder="1" applyAlignment="1">
      <alignment horizontal="center" vertical="center"/>
    </xf>
    <xf numFmtId="171" fontId="18" fillId="0" borderId="39" xfId="2" applyNumberFormat="1" applyFont="1" applyBorder="1" applyAlignment="1" applyProtection="1">
      <alignment horizontal="center" vertical="center"/>
    </xf>
    <xf numFmtId="169" fontId="14" fillId="0" borderId="39" xfId="1" applyNumberFormat="1" applyFont="1" applyBorder="1" applyAlignment="1" applyProtection="1">
      <alignment horizontal="center" vertical="center"/>
    </xf>
    <xf numFmtId="0" fontId="10" fillId="2" borderId="0" xfId="0" applyFont="1" applyFill="1" applyAlignment="1">
      <alignment vertical="center"/>
    </xf>
    <xf numFmtId="0" fontId="7" fillId="2" borderId="0" xfId="0" applyFont="1" applyFill="1" applyAlignment="1" applyProtection="1">
      <alignment vertical="center"/>
      <protection locked="0"/>
    </xf>
    <xf numFmtId="0" fontId="20" fillId="0" borderId="39" xfId="0" applyFont="1" applyBorder="1" applyAlignment="1" applyProtection="1">
      <alignment horizontal="center" vertical="center"/>
      <protection locked="0"/>
    </xf>
    <xf numFmtId="171" fontId="20" fillId="0" borderId="39" xfId="2" applyNumberFormat="1" applyFont="1" applyBorder="1" applyAlignment="1" applyProtection="1">
      <alignment horizontal="center" vertical="center"/>
      <protection locked="0"/>
    </xf>
    <xf numFmtId="169" fontId="8" fillId="0" borderId="39" xfId="1" applyNumberFormat="1" applyFont="1" applyBorder="1" applyAlignment="1" applyProtection="1">
      <alignment horizontal="center" vertical="center"/>
      <protection locked="0"/>
    </xf>
    <xf numFmtId="0" fontId="10" fillId="0" borderId="1" xfId="2" applyNumberFormat="1" applyFont="1" applyBorder="1" applyAlignment="1" applyProtection="1">
      <alignment horizontal="center" vertical="center"/>
    </xf>
    <xf numFmtId="0" fontId="21" fillId="0" borderId="5" xfId="2" applyNumberFormat="1" applyFont="1" applyBorder="1" applyAlignment="1" applyProtection="1">
      <alignment horizontal="center" vertical="center"/>
    </xf>
    <xf numFmtId="0" fontId="82" fillId="3" borderId="95" xfId="0" applyFont="1" applyFill="1" applyBorder="1" applyAlignment="1">
      <alignment horizontal="center"/>
    </xf>
    <xf numFmtId="0" fontId="108" fillId="0" borderId="0" xfId="0" applyFont="1" applyAlignment="1">
      <alignment horizontal="center"/>
    </xf>
    <xf numFmtId="0" fontId="0" fillId="16" borderId="1" xfId="0" applyFill="1" applyBorder="1" applyAlignment="1">
      <alignment horizontal="center"/>
    </xf>
    <xf numFmtId="0" fontId="6" fillId="0" borderId="0" xfId="0" applyFont="1" applyAlignment="1">
      <alignment horizontal="center"/>
    </xf>
    <xf numFmtId="0" fontId="109" fillId="0" borderId="12" xfId="0" applyFont="1" applyBorder="1"/>
    <xf numFmtId="43" fontId="109" fillId="0" borderId="1" xfId="1" quotePrefix="1" applyFont="1" applyFill="1" applyBorder="1" applyAlignment="1">
      <alignment horizontal="center"/>
    </xf>
    <xf numFmtId="0" fontId="109" fillId="0" borderId="0" xfId="0" applyFont="1" applyAlignment="1">
      <alignment horizontal="center"/>
    </xf>
    <xf numFmtId="0" fontId="109" fillId="0" borderId="12" xfId="0" applyFont="1" applyBorder="1" applyAlignment="1">
      <alignment horizontal="center"/>
    </xf>
    <xf numFmtId="0" fontId="30" fillId="0" borderId="1" xfId="0" applyFont="1" applyBorder="1" applyAlignment="1">
      <alignment horizontal="center"/>
    </xf>
    <xf numFmtId="183" fontId="110" fillId="0" borderId="95" xfId="0" applyNumberFormat="1" applyFont="1" applyBorder="1"/>
    <xf numFmtId="183" fontId="110" fillId="0" borderId="12" xfId="0" applyNumberFormat="1" applyFont="1" applyBorder="1"/>
    <xf numFmtId="183" fontId="110" fillId="0" borderId="1" xfId="0" applyNumberFormat="1" applyFont="1" applyBorder="1" applyAlignment="1">
      <alignment horizontal="center"/>
    </xf>
    <xf numFmtId="10" fontId="110" fillId="0" borderId="1" xfId="2" applyNumberFormat="1" applyFont="1" applyFill="1" applyBorder="1" applyAlignment="1">
      <alignment horizontal="center"/>
    </xf>
    <xf numFmtId="0" fontId="110" fillId="0" borderId="1" xfId="0" applyFont="1" applyBorder="1" applyAlignment="1">
      <alignment horizontal="center"/>
    </xf>
    <xf numFmtId="183" fontId="110" fillId="0" borderId="98" xfId="0" applyNumberFormat="1" applyFont="1" applyBorder="1"/>
    <xf numFmtId="0" fontId="52" fillId="0" borderId="1" xfId="0" applyFont="1" applyBorder="1" applyAlignment="1">
      <alignment horizontal="center"/>
    </xf>
    <xf numFmtId="0" fontId="3" fillId="0" borderId="14" xfId="0" applyFont="1" applyBorder="1" applyAlignment="1">
      <alignment horizontal="center" vertical="center" wrapText="1"/>
    </xf>
    <xf numFmtId="0" fontId="0" fillId="0" borderId="14" xfId="0" applyBorder="1" applyAlignment="1">
      <alignment horizontal="center"/>
    </xf>
    <xf numFmtId="43" fontId="63" fillId="0" borderId="15" xfId="1" applyFont="1" applyBorder="1"/>
    <xf numFmtId="0" fontId="63" fillId="0" borderId="123" xfId="0" applyFont="1" applyBorder="1"/>
    <xf numFmtId="43" fontId="63" fillId="0" borderId="123" xfId="0" applyNumberFormat="1" applyFont="1" applyBorder="1"/>
    <xf numFmtId="43" fontId="63" fillId="17" borderId="123" xfId="0" applyNumberFormat="1" applyFont="1" applyFill="1" applyBorder="1"/>
    <xf numFmtId="17" fontId="81" fillId="0" borderId="0" xfId="0" quotePrefix="1" applyNumberFormat="1" applyFont="1" applyAlignment="1">
      <alignment horizontal="left"/>
    </xf>
    <xf numFmtId="10" fontId="108" fillId="0" borderId="0" xfId="2" applyNumberFormat="1" applyFont="1" applyAlignment="1">
      <alignment horizontal="center"/>
    </xf>
    <xf numFmtId="43" fontId="108" fillId="0" borderId="0" xfId="1" applyFont="1" applyAlignment="1">
      <alignment horizontal="center"/>
    </xf>
    <xf numFmtId="0" fontId="0" fillId="0" borderId="0" xfId="0" applyAlignment="1">
      <alignment horizontal="right"/>
    </xf>
    <xf numFmtId="0" fontId="111" fillId="0" borderId="0" xfId="0" applyFont="1" applyAlignment="1">
      <alignment horizontal="center" vertical="center"/>
    </xf>
    <xf numFmtId="0" fontId="52" fillId="3" borderId="28" xfId="0" applyFont="1" applyFill="1" applyBorder="1"/>
    <xf numFmtId="0" fontId="52" fillId="3" borderId="0" xfId="0" applyFont="1" applyFill="1"/>
    <xf numFmtId="0" fontId="30" fillId="2" borderId="0" xfId="0" applyFont="1" applyFill="1"/>
    <xf numFmtId="43" fontId="30" fillId="2" borderId="0" xfId="1" applyFont="1" applyFill="1" applyBorder="1"/>
    <xf numFmtId="43" fontId="9" fillId="2" borderId="0" xfId="1" applyFont="1" applyFill="1" applyBorder="1"/>
    <xf numFmtId="43" fontId="9" fillId="2" borderId="0" xfId="1" applyFont="1" applyFill="1" applyBorder="1" applyAlignment="1">
      <alignment horizontal="center"/>
    </xf>
    <xf numFmtId="0" fontId="112" fillId="2" borderId="0" xfId="0" applyFont="1" applyFill="1" applyAlignment="1">
      <alignment horizontal="center"/>
    </xf>
    <xf numFmtId="0" fontId="30" fillId="2" borderId="0" xfId="0" applyFont="1" applyFill="1" applyAlignment="1">
      <alignment horizontal="center"/>
    </xf>
    <xf numFmtId="0" fontId="114" fillId="2" borderId="0" xfId="0" applyFont="1" applyFill="1" applyAlignment="1">
      <alignment horizontal="center"/>
    </xf>
    <xf numFmtId="0" fontId="115" fillId="5" borderId="1" xfId="0" applyFont="1" applyFill="1" applyBorder="1" applyAlignment="1">
      <alignment horizontal="center" vertical="center" wrapText="1"/>
    </xf>
    <xf numFmtId="0" fontId="54" fillId="2" borderId="1" xfId="0" applyFont="1" applyFill="1" applyBorder="1" applyAlignment="1">
      <alignment horizontal="center" vertical="center" wrapText="1"/>
    </xf>
    <xf numFmtId="43" fontId="54" fillId="2" borderId="1" xfId="1" applyFont="1" applyFill="1" applyBorder="1" applyAlignment="1">
      <alignment horizontal="center" vertical="center" wrapText="1"/>
    </xf>
    <xf numFmtId="43" fontId="115" fillId="5" borderId="1" xfId="1" applyFont="1" applyFill="1" applyBorder="1" applyAlignment="1">
      <alignment horizontal="center" vertical="center" wrapText="1"/>
    </xf>
    <xf numFmtId="43" fontId="116" fillId="5" borderId="1" xfId="1" applyFont="1" applyFill="1" applyBorder="1" applyAlignment="1">
      <alignment horizontal="center" vertical="center" wrapText="1"/>
    </xf>
    <xf numFmtId="16" fontId="113" fillId="2" borderId="0" xfId="0" applyNumberFormat="1" applyFont="1" applyFill="1" applyAlignment="1">
      <alignment horizontal="center" vertical="center" wrapText="1"/>
    </xf>
    <xf numFmtId="0" fontId="9" fillId="2" borderId="0" xfId="0" applyFont="1" applyFill="1" applyAlignment="1">
      <alignment horizontal="center" vertical="center" wrapText="1"/>
    </xf>
    <xf numFmtId="0" fontId="30" fillId="2" borderId="1" xfId="0" applyFont="1" applyFill="1" applyBorder="1" applyAlignment="1">
      <alignment horizontal="center"/>
    </xf>
    <xf numFmtId="0" fontId="23" fillId="2" borderId="1" xfId="0" applyFont="1" applyFill="1" applyBorder="1" applyAlignment="1">
      <alignment horizontal="center"/>
    </xf>
    <xf numFmtId="43" fontId="23" fillId="2" borderId="1" xfId="1" applyFont="1" applyFill="1" applyBorder="1"/>
    <xf numFmtId="43" fontId="23" fillId="2" borderId="1" xfId="1" applyFont="1" applyFill="1" applyBorder="1" applyAlignment="1">
      <alignment horizontal="left"/>
    </xf>
    <xf numFmtId="9" fontId="23" fillId="2" borderId="1" xfId="1" applyNumberFormat="1" applyFont="1" applyFill="1" applyBorder="1" applyAlignment="1">
      <alignment horizontal="center"/>
    </xf>
    <xf numFmtId="9" fontId="23" fillId="2" borderId="1" xfId="2" applyFont="1" applyFill="1" applyBorder="1" applyAlignment="1">
      <alignment horizontal="center"/>
    </xf>
    <xf numFmtId="4" fontId="23" fillId="2" borderId="0" xfId="0" applyNumberFormat="1" applyFont="1" applyFill="1"/>
    <xf numFmtId="0" fontId="23" fillId="2" borderId="125" xfId="0" applyFont="1" applyFill="1" applyBorder="1" applyAlignment="1">
      <alignment horizontal="center"/>
    </xf>
    <xf numFmtId="0" fontId="23" fillId="2" borderId="102" xfId="0" applyFont="1" applyFill="1" applyBorder="1"/>
    <xf numFmtId="4" fontId="23" fillId="2" borderId="102" xfId="0" applyNumberFormat="1" applyFont="1" applyFill="1" applyBorder="1"/>
    <xf numFmtId="0" fontId="23" fillId="2" borderId="120" xfId="0" applyFont="1" applyFill="1" applyBorder="1" applyAlignment="1">
      <alignment horizontal="center"/>
    </xf>
    <xf numFmtId="0" fontId="23" fillId="0" borderId="120" xfId="0" applyFont="1" applyBorder="1" applyAlignment="1">
      <alignment horizontal="center"/>
    </xf>
    <xf numFmtId="43" fontId="23" fillId="2" borderId="120" xfId="1" applyFont="1" applyFill="1" applyBorder="1"/>
    <xf numFmtId="43" fontId="23" fillId="2" borderId="120" xfId="1" applyFont="1" applyFill="1" applyBorder="1" applyAlignment="1">
      <alignment horizontal="left"/>
    </xf>
    <xf numFmtId="9" fontId="23" fillId="2" borderId="120" xfId="1" applyNumberFormat="1" applyFont="1" applyFill="1" applyBorder="1" applyAlignment="1">
      <alignment horizontal="center"/>
    </xf>
    <xf numFmtId="9" fontId="23" fillId="2" borderId="120" xfId="2" applyFont="1" applyFill="1" applyBorder="1" applyAlignment="1">
      <alignment horizontal="center"/>
    </xf>
    <xf numFmtId="0" fontId="114" fillId="18" borderId="1" xfId="0" applyFont="1" applyFill="1" applyBorder="1" applyAlignment="1">
      <alignment horizontal="center"/>
    </xf>
    <xf numFmtId="0" fontId="12" fillId="3" borderId="1" xfId="0" applyFont="1" applyFill="1" applyBorder="1" applyAlignment="1">
      <alignment horizontal="center" vertical="center" wrapText="1"/>
    </xf>
    <xf numFmtId="0" fontId="21" fillId="5" borderId="6" xfId="0" applyFont="1" applyFill="1" applyBorder="1" applyAlignment="1" applyProtection="1">
      <alignment horizontal="left" vertical="center"/>
      <protection locked="0"/>
    </xf>
    <xf numFmtId="0" fontId="54" fillId="3" borderId="1" xfId="0" applyFont="1" applyFill="1" applyBorder="1" applyAlignment="1">
      <alignment horizontal="center" vertical="center" wrapText="1"/>
    </xf>
    <xf numFmtId="0" fontId="30" fillId="2" borderId="1" xfId="0" applyFont="1" applyFill="1" applyBorder="1"/>
    <xf numFmtId="165" fontId="23" fillId="0" borderId="1" xfId="4" applyFont="1" applyFill="1" applyBorder="1"/>
    <xf numFmtId="186" fontId="9" fillId="2" borderId="0" xfId="0" applyNumberFormat="1" applyFont="1" applyFill="1"/>
    <xf numFmtId="165" fontId="114" fillId="19" borderId="1" xfId="4" quotePrefix="1" applyFont="1" applyFill="1" applyBorder="1" applyAlignment="1">
      <alignment horizontal="center" vertical="center"/>
    </xf>
    <xf numFmtId="165" fontId="114" fillId="19" borderId="1" xfId="4" quotePrefix="1" applyFont="1" applyFill="1" applyBorder="1" applyAlignment="1">
      <alignment horizontal="center" vertical="center" wrapText="1"/>
    </xf>
    <xf numFmtId="165" fontId="114" fillId="19" borderId="1" xfId="4" applyFont="1" applyFill="1" applyBorder="1" applyAlignment="1">
      <alignment horizontal="center" vertical="center" wrapText="1"/>
    </xf>
    <xf numFmtId="0" fontId="9" fillId="5" borderId="0" xfId="0" applyFont="1" applyFill="1"/>
    <xf numFmtId="0" fontId="9" fillId="5" borderId="0" xfId="0" applyFont="1" applyFill="1" applyAlignment="1">
      <alignment horizontal="center" vertical="center" wrapText="1"/>
    </xf>
    <xf numFmtId="0" fontId="23" fillId="5" borderId="0" xfId="0" applyFont="1" applyFill="1"/>
    <xf numFmtId="0" fontId="23" fillId="5" borderId="102" xfId="0" applyFont="1" applyFill="1" applyBorder="1"/>
    <xf numFmtId="0" fontId="23" fillId="2" borderId="0" xfId="0" applyFont="1" applyFill="1" applyAlignment="1">
      <alignment horizontal="center"/>
    </xf>
    <xf numFmtId="10" fontId="9" fillId="2" borderId="0" xfId="2" applyNumberFormat="1" applyFont="1" applyFill="1"/>
    <xf numFmtId="0" fontId="17" fillId="2" borderId="0" xfId="0" applyFont="1" applyFill="1"/>
    <xf numFmtId="17" fontId="12" fillId="2" borderId="0" xfId="0" quotePrefix="1" applyNumberFormat="1" applyFont="1" applyFill="1" applyAlignment="1">
      <alignment horizontal="left"/>
    </xf>
    <xf numFmtId="10" fontId="9" fillId="2" borderId="0" xfId="2" applyNumberFormat="1" applyFont="1" applyFill="1" applyAlignment="1">
      <alignment horizontal="center"/>
    </xf>
    <xf numFmtId="0" fontId="54" fillId="0" borderId="0" xfId="0" applyFont="1" applyAlignment="1">
      <alignment horizontal="center"/>
    </xf>
    <xf numFmtId="0" fontId="12" fillId="3" borderId="121" xfId="0" applyFont="1" applyFill="1" applyBorder="1" applyAlignment="1">
      <alignment horizontal="center"/>
    </xf>
    <xf numFmtId="0" fontId="12" fillId="3" borderId="126" xfId="0" applyFont="1" applyFill="1" applyBorder="1" applyAlignment="1">
      <alignment horizontal="center" wrapText="1"/>
    </xf>
    <xf numFmtId="0" fontId="9" fillId="3" borderId="120" xfId="0" applyFont="1" applyFill="1" applyBorder="1" applyAlignment="1">
      <alignment horizontal="center"/>
    </xf>
    <xf numFmtId="0" fontId="9" fillId="3" borderId="40" xfId="0" applyFont="1" applyFill="1" applyBorder="1" applyAlignment="1">
      <alignment horizontal="center"/>
    </xf>
    <xf numFmtId="0" fontId="23" fillId="0" borderId="120" xfId="0" quotePrefix="1" applyFont="1" applyBorder="1" applyAlignment="1">
      <alignment horizontal="center"/>
    </xf>
    <xf numFmtId="0" fontId="23" fillId="2" borderId="120" xfId="0" quotePrefix="1" applyFont="1" applyFill="1" applyBorder="1" applyAlignment="1">
      <alignment horizontal="center"/>
    </xf>
    <xf numFmtId="0" fontId="23" fillId="2" borderId="68" xfId="0" applyFont="1" applyFill="1" applyBorder="1" applyAlignment="1">
      <alignment horizontal="center"/>
    </xf>
    <xf numFmtId="183" fontId="23" fillId="2" borderId="99" xfId="0" applyNumberFormat="1" applyFont="1" applyFill="1" applyBorder="1"/>
    <xf numFmtId="183" fontId="23" fillId="2" borderId="98" xfId="0" applyNumberFormat="1" applyFont="1" applyFill="1" applyBorder="1"/>
    <xf numFmtId="183" fontId="23" fillId="2" borderId="122" xfId="0" applyNumberFormat="1" applyFont="1" applyFill="1" applyBorder="1"/>
    <xf numFmtId="183" fontId="23" fillId="2" borderId="120" xfId="0" applyNumberFormat="1" applyFont="1" applyFill="1" applyBorder="1"/>
    <xf numFmtId="10" fontId="23" fillId="2" borderId="98" xfId="2" applyNumberFormat="1" applyFont="1" applyFill="1" applyBorder="1" applyAlignment="1">
      <alignment horizontal="center"/>
    </xf>
    <xf numFmtId="1" fontId="23" fillId="2" borderId="98" xfId="0" applyNumberFormat="1" applyFont="1" applyFill="1" applyBorder="1" applyAlignment="1">
      <alignment horizontal="center"/>
    </xf>
    <xf numFmtId="43" fontId="17" fillId="2" borderId="0" xfId="0" applyNumberFormat="1" applyFont="1" applyFill="1"/>
    <xf numFmtId="10" fontId="17" fillId="2" borderId="0" xfId="0" applyNumberFormat="1" applyFont="1" applyFill="1"/>
    <xf numFmtId="0" fontId="9" fillId="3" borderId="1" xfId="0" applyFont="1" applyFill="1" applyBorder="1" applyAlignment="1">
      <alignment horizontal="center"/>
    </xf>
    <xf numFmtId="0" fontId="9" fillId="3" borderId="14" xfId="0" applyFont="1" applyFill="1" applyBorder="1" applyAlignment="1">
      <alignment horizontal="center"/>
    </xf>
    <xf numFmtId="0" fontId="120" fillId="0" borderId="109" xfId="0" applyFont="1" applyBorder="1"/>
    <xf numFmtId="0" fontId="120" fillId="0" borderId="110" xfId="0" applyFont="1" applyBorder="1"/>
    <xf numFmtId="183" fontId="120" fillId="0" borderId="110" xfId="0" applyNumberFormat="1" applyFont="1" applyBorder="1"/>
    <xf numFmtId="0" fontId="88" fillId="0" borderId="110" xfId="0" applyFont="1" applyBorder="1"/>
    <xf numFmtId="0" fontId="88" fillId="0" borderId="111" xfId="0" applyFont="1" applyBorder="1"/>
    <xf numFmtId="0" fontId="88" fillId="0" borderId="112" xfId="0" applyFont="1" applyBorder="1"/>
    <xf numFmtId="0" fontId="88" fillId="3" borderId="95" xfId="0" applyFont="1" applyFill="1" applyBorder="1"/>
    <xf numFmtId="0" fontId="120" fillId="0" borderId="12" xfId="0" applyFont="1" applyBorder="1" applyAlignment="1">
      <alignment horizontal="center"/>
    </xf>
    <xf numFmtId="0" fontId="120" fillId="0" borderId="94" xfId="0" applyFont="1" applyBorder="1" applyAlignment="1">
      <alignment horizontal="center"/>
    </xf>
    <xf numFmtId="0" fontId="88" fillId="3" borderId="95" xfId="0" applyFont="1" applyFill="1" applyBorder="1" applyAlignment="1">
      <alignment horizontal="center"/>
    </xf>
    <xf numFmtId="0" fontId="88" fillId="0" borderId="12" xfId="0" applyFont="1" applyBorder="1" applyAlignment="1">
      <alignment horizontal="center"/>
    </xf>
    <xf numFmtId="9" fontId="88" fillId="0" borderId="12" xfId="0" applyNumberFormat="1" applyFont="1" applyBorder="1" applyAlignment="1">
      <alignment horizontal="center"/>
    </xf>
    <xf numFmtId="183" fontId="88" fillId="0" borderId="94" xfId="0" applyNumberFormat="1" applyFont="1" applyBorder="1"/>
    <xf numFmtId="186" fontId="23" fillId="2" borderId="0" xfId="0" applyNumberFormat="1" applyFont="1" applyFill="1"/>
    <xf numFmtId="0" fontId="120" fillId="0" borderId="113" xfId="0" applyFont="1" applyBorder="1"/>
    <xf numFmtId="0" fontId="120" fillId="0" borderId="100" xfId="0" applyFont="1" applyBorder="1"/>
    <xf numFmtId="0" fontId="120" fillId="0" borderId="96" xfId="0" applyFont="1" applyBorder="1" applyAlignment="1">
      <alignment horizontal="center"/>
    </xf>
    <xf numFmtId="9" fontId="120" fillId="0" borderId="96" xfId="0" applyNumberFormat="1" applyFont="1" applyBorder="1" applyAlignment="1">
      <alignment horizontal="center"/>
    </xf>
    <xf numFmtId="183" fontId="120" fillId="0" borderId="96" xfId="0" applyNumberFormat="1" applyFont="1" applyBorder="1"/>
    <xf numFmtId="0" fontId="120" fillId="0" borderId="97" xfId="0" applyFont="1" applyBorder="1"/>
    <xf numFmtId="0" fontId="121" fillId="0" borderId="0" xfId="0" applyFont="1"/>
    <xf numFmtId="0" fontId="4" fillId="3" borderId="28" xfId="0" applyFont="1" applyFill="1" applyBorder="1"/>
    <xf numFmtId="0" fontId="122" fillId="0" borderId="0" xfId="0" applyFont="1"/>
    <xf numFmtId="0" fontId="4" fillId="3" borderId="0" xfId="0" applyFont="1" applyFill="1"/>
    <xf numFmtId="0" fontId="23" fillId="18" borderId="1" xfId="0" applyFont="1" applyFill="1" applyBorder="1" applyAlignment="1">
      <alignment horizontal="center"/>
    </xf>
    <xf numFmtId="0" fontId="115" fillId="5" borderId="121" xfId="0" applyFont="1" applyFill="1" applyBorder="1" applyAlignment="1">
      <alignment horizontal="center" vertical="center" wrapText="1"/>
    </xf>
    <xf numFmtId="0" fontId="115" fillId="5" borderId="121" xfId="0" applyFont="1" applyFill="1" applyBorder="1" applyAlignment="1">
      <alignment horizontal="center" vertical="center"/>
    </xf>
    <xf numFmtId="0" fontId="115" fillId="5" borderId="126" xfId="0" applyFont="1" applyFill="1" applyBorder="1" applyAlignment="1">
      <alignment horizontal="center" vertical="center"/>
    </xf>
    <xf numFmtId="0" fontId="115" fillId="5" borderId="124" xfId="0" applyFont="1" applyFill="1" applyBorder="1" applyAlignment="1">
      <alignment horizontal="center" vertical="center"/>
    </xf>
    <xf numFmtId="0" fontId="115" fillId="5" borderId="104" xfId="0" applyFont="1" applyFill="1" applyBorder="1" applyAlignment="1">
      <alignment horizontal="center" vertical="center" wrapText="1"/>
    </xf>
    <xf numFmtId="0" fontId="115" fillId="5" borderId="104" xfId="0" applyFont="1" applyFill="1" applyBorder="1" applyAlignment="1">
      <alignment horizontal="center" vertical="center"/>
    </xf>
    <xf numFmtId="10" fontId="115" fillId="5" borderId="104" xfId="2" applyNumberFormat="1" applyFont="1" applyFill="1" applyBorder="1" applyAlignment="1">
      <alignment horizontal="center" vertical="center"/>
    </xf>
    <xf numFmtId="0" fontId="115" fillId="5" borderId="105" xfId="0" applyFont="1" applyFill="1" applyBorder="1" applyAlignment="1">
      <alignment horizontal="center" vertical="center" wrapText="1"/>
    </xf>
    <xf numFmtId="0" fontId="24" fillId="0" borderId="0" xfId="0" applyFont="1" applyProtection="1">
      <protection locked="0"/>
    </xf>
    <xf numFmtId="0" fontId="40" fillId="0" borderId="0" xfId="0" applyFont="1" applyProtection="1">
      <protection locked="0"/>
    </xf>
    <xf numFmtId="0" fontId="0" fillId="20" borderId="0" xfId="0" applyFill="1"/>
    <xf numFmtId="17" fontId="0" fillId="0" borderId="0" xfId="0" applyNumberFormat="1"/>
    <xf numFmtId="0" fontId="9" fillId="21" borderId="0" xfId="0" applyFont="1" applyFill="1"/>
    <xf numFmtId="0" fontId="114" fillId="21" borderId="0" xfId="0" applyFont="1" applyFill="1" applyAlignment="1">
      <alignment horizontal="center"/>
    </xf>
    <xf numFmtId="17" fontId="114" fillId="21" borderId="0" xfId="0" applyNumberFormat="1" applyFont="1" applyFill="1" applyAlignment="1">
      <alignment horizontal="center"/>
    </xf>
    <xf numFmtId="0" fontId="118" fillId="21" borderId="1" xfId="7" applyFont="1" applyFill="1" applyBorder="1" applyAlignment="1">
      <alignment horizontal="center" vertical="center" wrapText="1"/>
    </xf>
    <xf numFmtId="16" fontId="113" fillId="21" borderId="0" xfId="0" applyNumberFormat="1" applyFont="1" applyFill="1" applyAlignment="1">
      <alignment horizontal="center" vertical="center" wrapText="1"/>
    </xf>
    <xf numFmtId="17" fontId="23" fillId="21" borderId="1" xfId="0" applyNumberFormat="1" applyFont="1" applyFill="1" applyBorder="1" applyAlignment="1">
      <alignment horizontal="center"/>
    </xf>
    <xf numFmtId="0" fontId="97" fillId="21" borderId="1" xfId="8" applyNumberFormat="1" applyFont="1" applyFill="1" applyBorder="1" applyAlignment="1">
      <alignment horizontal="center" vertical="center"/>
    </xf>
    <xf numFmtId="4" fontId="23" fillId="21" borderId="0" xfId="0" applyNumberFormat="1" applyFont="1" applyFill="1"/>
    <xf numFmtId="17" fontId="23" fillId="21" borderId="125" xfId="0" applyNumberFormat="1" applyFont="1" applyFill="1" applyBorder="1" applyAlignment="1">
      <alignment horizontal="center"/>
    </xf>
    <xf numFmtId="0" fontId="97" fillId="21" borderId="125" xfId="8" applyNumberFormat="1" applyFont="1" applyFill="1" applyBorder="1" applyAlignment="1">
      <alignment horizontal="center" vertical="center"/>
    </xf>
    <xf numFmtId="4" fontId="23" fillId="21" borderId="102" xfId="0" applyNumberFormat="1" applyFont="1" applyFill="1" applyBorder="1"/>
    <xf numFmtId="17" fontId="23" fillId="21" borderId="120" xfId="0" applyNumberFormat="1" applyFont="1" applyFill="1" applyBorder="1" applyAlignment="1">
      <alignment horizontal="center"/>
    </xf>
    <xf numFmtId="0" fontId="97" fillId="21" borderId="120" xfId="8" applyNumberFormat="1" applyFont="1" applyFill="1" applyBorder="1" applyAlignment="1">
      <alignment horizontal="center" vertical="center"/>
    </xf>
    <xf numFmtId="0" fontId="14" fillId="0" borderId="14" xfId="0" applyFont="1" applyBorder="1" applyAlignment="1">
      <alignment horizontal="center" vertical="center"/>
    </xf>
    <xf numFmtId="0" fontId="14" fillId="0" borderId="23" xfId="0" applyFont="1" applyBorder="1" applyAlignment="1">
      <alignment horizontal="center" vertical="center"/>
    </xf>
    <xf numFmtId="0" fontId="21" fillId="4" borderId="0" xfId="0" applyFont="1" applyFill="1" applyAlignment="1">
      <alignment horizontal="center"/>
    </xf>
    <xf numFmtId="0" fontId="14" fillId="0" borderId="23" xfId="0" applyFont="1" applyBorder="1" applyAlignment="1">
      <alignment vertical="center"/>
    </xf>
    <xf numFmtId="0" fontId="14" fillId="0" borderId="19" xfId="0" applyFont="1" applyBorder="1" applyAlignment="1">
      <alignment vertical="center" wrapText="1"/>
    </xf>
    <xf numFmtId="0" fontId="14" fillId="0" borderId="41" xfId="0" applyFont="1" applyBorder="1" applyAlignment="1">
      <alignment vertical="center" wrapText="1"/>
    </xf>
    <xf numFmtId="0" fontId="14" fillId="0" borderId="28" xfId="0" applyFont="1" applyBorder="1" applyAlignment="1">
      <alignment vertical="center" wrapText="1"/>
    </xf>
    <xf numFmtId="0" fontId="14" fillId="0" borderId="69" xfId="0" applyFont="1" applyBorder="1" applyAlignment="1">
      <alignment vertical="center" wrapText="1"/>
    </xf>
    <xf numFmtId="0" fontId="14" fillId="0" borderId="67" xfId="0" applyFont="1" applyBorder="1" applyAlignment="1">
      <alignment vertical="center" wrapText="1"/>
    </xf>
    <xf numFmtId="0" fontId="14" fillId="0" borderId="0" xfId="0" applyFont="1" applyAlignment="1">
      <alignment vertical="center" wrapText="1"/>
    </xf>
    <xf numFmtId="169" fontId="14" fillId="0" borderId="19" xfId="0" applyNumberFormat="1" applyFont="1" applyBorder="1" applyAlignment="1">
      <alignment vertical="center" wrapText="1"/>
    </xf>
    <xf numFmtId="169" fontId="14" fillId="0" borderId="67" xfId="0" applyNumberFormat="1" applyFont="1" applyBorder="1" applyAlignment="1">
      <alignment vertical="center" wrapText="1"/>
    </xf>
    <xf numFmtId="169" fontId="14" fillId="0" borderId="41" xfId="0" applyNumberFormat="1" applyFont="1" applyBorder="1" applyAlignment="1">
      <alignment vertical="center" wrapText="1"/>
    </xf>
    <xf numFmtId="169" fontId="14" fillId="0" borderId="28" xfId="0" applyNumberFormat="1" applyFont="1" applyBorder="1" applyAlignment="1">
      <alignment vertical="center" wrapText="1"/>
    </xf>
    <xf numFmtId="169" fontId="14" fillId="0" borderId="0" xfId="0" applyNumberFormat="1" applyFont="1" applyAlignment="1">
      <alignment vertical="center" wrapText="1"/>
    </xf>
    <xf numFmtId="169" fontId="14" fillId="0" borderId="69" xfId="0" applyNumberFormat="1" applyFont="1" applyBorder="1" applyAlignment="1">
      <alignment vertical="center" wrapText="1"/>
    </xf>
    <xf numFmtId="0" fontId="14" fillId="0" borderId="14" xfId="0" applyFont="1" applyBorder="1" applyAlignment="1">
      <alignment vertical="center"/>
    </xf>
    <xf numFmtId="170" fontId="14" fillId="2" borderId="0" xfId="1" applyNumberFormat="1" applyFont="1" applyFill="1" applyBorder="1" applyAlignment="1" applyProtection="1">
      <alignment horizontal="center" vertical="center"/>
    </xf>
    <xf numFmtId="169" fontId="14" fillId="2" borderId="0" xfId="0" applyNumberFormat="1" applyFont="1" applyFill="1" applyAlignment="1">
      <alignment horizontal="center" vertical="center"/>
    </xf>
    <xf numFmtId="172" fontId="14" fillId="2" borderId="0" xfId="0" applyNumberFormat="1" applyFont="1" applyFill="1" applyAlignment="1">
      <alignment horizontal="center" vertical="center"/>
    </xf>
    <xf numFmtId="43" fontId="9" fillId="5" borderId="0" xfId="0" applyNumberFormat="1" applyFont="1" applyFill="1" applyAlignment="1">
      <alignment horizontal="center" vertical="center" wrapText="1"/>
    </xf>
    <xf numFmtId="0" fontId="23" fillId="2" borderId="1" xfId="0" applyFont="1" applyFill="1" applyBorder="1"/>
    <xf numFmtId="43" fontId="12" fillId="2" borderId="1" xfId="0" applyNumberFormat="1" applyFont="1" applyFill="1" applyBorder="1" applyAlignment="1">
      <alignment horizontal="center" vertical="center" wrapText="1"/>
    </xf>
    <xf numFmtId="43" fontId="23" fillId="2" borderId="1" xfId="0" applyNumberFormat="1" applyFont="1" applyFill="1" applyBorder="1"/>
    <xf numFmtId="0" fontId="9" fillId="2" borderId="0" xfId="0" applyFont="1" applyFill="1" applyAlignment="1">
      <alignment horizontal="right"/>
    </xf>
    <xf numFmtId="165" fontId="23" fillId="2" borderId="1" xfId="4" applyFont="1" applyFill="1" applyBorder="1"/>
    <xf numFmtId="10" fontId="12" fillId="2" borderId="1" xfId="2" applyNumberFormat="1" applyFont="1" applyFill="1" applyBorder="1" applyAlignment="1">
      <alignment horizontal="center" vertical="center" wrapText="1"/>
    </xf>
    <xf numFmtId="10" fontId="23" fillId="2" borderId="1" xfId="2" applyNumberFormat="1" applyFont="1" applyFill="1" applyBorder="1" applyAlignment="1">
      <alignment horizontal="center"/>
    </xf>
    <xf numFmtId="0" fontId="9" fillId="11" borderId="0" xfId="0" applyFont="1" applyFill="1" applyAlignment="1">
      <alignment horizontal="center"/>
    </xf>
    <xf numFmtId="43" fontId="9" fillId="2" borderId="0" xfId="1" applyFont="1" applyFill="1"/>
    <xf numFmtId="43" fontId="12" fillId="2" borderId="1" xfId="1" applyFont="1" applyFill="1" applyBorder="1" applyAlignment="1">
      <alignment horizontal="center" vertical="center" wrapText="1"/>
    </xf>
    <xf numFmtId="0" fontId="114" fillId="2" borderId="1" xfId="0" applyFont="1" applyFill="1" applyBorder="1" applyAlignment="1">
      <alignment horizontal="center" vertical="center" wrapText="1"/>
    </xf>
    <xf numFmtId="165" fontId="114" fillId="19" borderId="0" xfId="4" quotePrefix="1" applyFont="1" applyFill="1" applyBorder="1" applyAlignment="1">
      <alignment horizontal="center" vertical="center"/>
    </xf>
    <xf numFmtId="10" fontId="23" fillId="2" borderId="1" xfId="1" applyNumberFormat="1" applyFont="1" applyFill="1" applyBorder="1" applyAlignment="1">
      <alignment horizontal="center"/>
    </xf>
    <xf numFmtId="0" fontId="30" fillId="5" borderId="0" xfId="0" applyFont="1" applyFill="1"/>
    <xf numFmtId="43" fontId="23" fillId="2" borderId="15" xfId="1" applyFont="1" applyFill="1" applyBorder="1" applyAlignment="1">
      <alignment horizontal="left"/>
    </xf>
    <xf numFmtId="43" fontId="124" fillId="2" borderId="1" xfId="1" applyFont="1" applyFill="1" applyBorder="1" applyAlignment="1">
      <alignment horizontal="center" vertical="center" wrapText="1"/>
    </xf>
    <xf numFmtId="0" fontId="3" fillId="0" borderId="0" xfId="0" applyFont="1" applyAlignment="1">
      <alignment horizontal="center"/>
    </xf>
    <xf numFmtId="43" fontId="0" fillId="0" borderId="0" xfId="1" applyFont="1"/>
    <xf numFmtId="43" fontId="3" fillId="0" borderId="0" xfId="0" applyNumberFormat="1" applyFont="1"/>
    <xf numFmtId="43" fontId="125" fillId="2" borderId="1" xfId="1" applyFont="1" applyFill="1" applyBorder="1" applyAlignment="1">
      <alignment horizontal="center"/>
    </xf>
    <xf numFmtId="10" fontId="126" fillId="2" borderId="0" xfId="1" applyNumberFormat="1" applyFont="1" applyFill="1" applyBorder="1" applyAlignment="1">
      <alignment horizontal="center" vertical="center"/>
    </xf>
    <xf numFmtId="43" fontId="23" fillId="2" borderId="0" xfId="0" applyNumberFormat="1" applyFont="1" applyFill="1"/>
    <xf numFmtId="43" fontId="127" fillId="2" borderId="1" xfId="1" applyFont="1" applyFill="1" applyBorder="1" applyAlignment="1">
      <alignment horizontal="center" vertical="center" wrapText="1"/>
    </xf>
    <xf numFmtId="43" fontId="114" fillId="2" borderId="102" xfId="1" applyFont="1" applyFill="1" applyBorder="1" applyAlignment="1">
      <alignment horizontal="left"/>
    </xf>
    <xf numFmtId="4" fontId="114" fillId="2" borderId="0" xfId="0" applyNumberFormat="1" applyFont="1" applyFill="1" applyAlignment="1">
      <alignment horizontal="left"/>
    </xf>
    <xf numFmtId="4" fontId="114" fillId="21" borderId="0" xfId="0" applyNumberFormat="1" applyFont="1" applyFill="1" applyAlignment="1">
      <alignment horizontal="left"/>
    </xf>
    <xf numFmtId="0" fontId="114" fillId="2" borderId="0" xfId="0" applyFont="1" applyFill="1"/>
    <xf numFmtId="0" fontId="114" fillId="5" borderId="0" xfId="0" applyFont="1" applyFill="1"/>
    <xf numFmtId="10" fontId="114" fillId="2" borderId="0" xfId="2" applyNumberFormat="1" applyFont="1" applyFill="1" applyAlignment="1">
      <alignment horizontal="center"/>
    </xf>
    <xf numFmtId="43" fontId="114" fillId="2" borderId="0" xfId="1" applyFont="1" applyFill="1"/>
    <xf numFmtId="14" fontId="0" fillId="0" borderId="0" xfId="0" applyNumberFormat="1"/>
    <xf numFmtId="43" fontId="3" fillId="0" borderId="0" xfId="1" applyFont="1"/>
    <xf numFmtId="0" fontId="4" fillId="2" borderId="1" xfId="13" applyFont="1" applyFill="1" applyBorder="1" applyAlignment="1">
      <alignment horizontal="center" vertical="center"/>
    </xf>
    <xf numFmtId="0" fontId="4" fillId="2" borderId="1" xfId="13" applyFont="1" applyFill="1" applyBorder="1" applyAlignment="1">
      <alignment horizontal="center"/>
    </xf>
    <xf numFmtId="0" fontId="96" fillId="2" borderId="0" xfId="0" applyFont="1" applyFill="1" applyAlignment="1">
      <alignment vertical="center"/>
    </xf>
    <xf numFmtId="17" fontId="96" fillId="2" borderId="0" xfId="0" quotePrefix="1" applyNumberFormat="1" applyFont="1" applyFill="1" applyAlignment="1">
      <alignment horizontal="left" vertical="center"/>
    </xf>
    <xf numFmtId="0" fontId="9" fillId="2" borderId="0" xfId="0" applyFont="1" applyFill="1" applyAlignment="1">
      <alignment vertical="center"/>
    </xf>
    <xf numFmtId="0" fontId="112" fillId="2" borderId="0" xfId="0" applyFont="1" applyFill="1" applyAlignment="1">
      <alignment horizontal="center" vertical="center"/>
    </xf>
    <xf numFmtId="0" fontId="23" fillId="2" borderId="1" xfId="0" applyFont="1" applyFill="1" applyBorder="1" applyAlignment="1">
      <alignment horizontal="center" vertical="center"/>
    </xf>
    <xf numFmtId="43" fontId="30" fillId="2" borderId="0" xfId="1" applyFont="1" applyFill="1" applyBorder="1" applyAlignment="1">
      <alignment vertical="center"/>
    </xf>
    <xf numFmtId="43" fontId="9" fillId="2" borderId="0" xfId="1" applyFont="1" applyFill="1" applyBorder="1" applyAlignment="1">
      <alignment vertical="center"/>
    </xf>
    <xf numFmtId="43" fontId="9" fillId="2" borderId="0" xfId="1" applyFont="1" applyFill="1" applyBorder="1" applyAlignment="1">
      <alignment horizontal="center" vertical="center"/>
    </xf>
    <xf numFmtId="0" fontId="30" fillId="2" borderId="0" xfId="0" applyFont="1" applyFill="1" applyAlignment="1">
      <alignment vertical="center"/>
    </xf>
    <xf numFmtId="16" fontId="9" fillId="2" borderId="0" xfId="1" quotePrefix="1" applyNumberFormat="1" applyFont="1" applyFill="1" applyBorder="1" applyAlignment="1">
      <alignment horizontal="center" vertical="center"/>
    </xf>
    <xf numFmtId="43" fontId="36" fillId="2" borderId="0" xfId="1" applyFont="1" applyFill="1" applyBorder="1" applyAlignment="1">
      <alignment vertical="center"/>
    </xf>
    <xf numFmtId="0" fontId="72" fillId="2" borderId="0" xfId="0" applyFont="1" applyFill="1" applyAlignment="1">
      <alignment vertical="center"/>
    </xf>
    <xf numFmtId="43" fontId="9" fillId="16" borderId="1" xfId="1" applyFont="1" applyFill="1" applyBorder="1" applyAlignment="1">
      <alignment horizontal="right" vertical="center"/>
    </xf>
    <xf numFmtId="43" fontId="9" fillId="16" borderId="1" xfId="1" applyFont="1" applyFill="1" applyBorder="1" applyAlignment="1">
      <alignment vertical="center"/>
    </xf>
    <xf numFmtId="43" fontId="54" fillId="2" borderId="1" xfId="1" applyFont="1" applyFill="1" applyBorder="1" applyAlignment="1">
      <alignment horizontal="center" vertical="center"/>
    </xf>
    <xf numFmtId="43" fontId="54" fillId="2" borderId="0" xfId="1" applyFont="1" applyFill="1" applyBorder="1" applyAlignment="1">
      <alignment horizontal="center" vertical="center"/>
    </xf>
    <xf numFmtId="184" fontId="97" fillId="2" borderId="0" xfId="0" applyNumberFormat="1" applyFont="1" applyFill="1" applyAlignment="1">
      <alignment horizontal="center" vertical="center"/>
    </xf>
    <xf numFmtId="43" fontId="12" fillId="3" borderId="0" xfId="1" applyFont="1" applyFill="1" applyBorder="1" applyAlignment="1">
      <alignment vertical="center"/>
    </xf>
    <xf numFmtId="43" fontId="30" fillId="2" borderId="0" xfId="1" applyFont="1" applyFill="1" applyBorder="1" applyAlignment="1">
      <alignment horizontal="center" vertical="center"/>
    </xf>
    <xf numFmtId="10" fontId="30" fillId="2" borderId="0" xfId="1" applyNumberFormat="1" applyFont="1" applyFill="1" applyBorder="1" applyAlignment="1">
      <alignment horizontal="center" vertical="center"/>
    </xf>
    <xf numFmtId="10" fontId="54" fillId="2" borderId="1" xfId="1" applyNumberFormat="1" applyFont="1" applyFill="1" applyBorder="1" applyAlignment="1">
      <alignment horizontal="center" vertical="center"/>
    </xf>
    <xf numFmtId="43" fontId="112" fillId="2" borderId="0" xfId="1" applyFont="1" applyFill="1" applyBorder="1" applyAlignment="1">
      <alignment horizontal="center" vertical="center"/>
    </xf>
    <xf numFmtId="9" fontId="113" fillId="2" borderId="0" xfId="1" applyNumberFormat="1" applyFont="1" applyFill="1" applyBorder="1" applyAlignment="1">
      <alignment horizontal="center" vertical="center"/>
    </xf>
    <xf numFmtId="9" fontId="112" fillId="2" borderId="0" xfId="2" applyFont="1" applyFill="1" applyBorder="1" applyAlignment="1">
      <alignment horizontal="center" vertical="center"/>
    </xf>
    <xf numFmtId="10" fontId="113" fillId="3" borderId="0" xfId="0" applyNumberFormat="1" applyFont="1" applyFill="1" applyAlignment="1">
      <alignment horizontal="center" vertical="center"/>
    </xf>
    <xf numFmtId="0" fontId="114" fillId="2" borderId="0" xfId="0" applyFont="1" applyFill="1" applyAlignment="1">
      <alignment horizontal="center" vertical="center"/>
    </xf>
    <xf numFmtId="0" fontId="23" fillId="0" borderId="1" xfId="0" applyFont="1" applyBorder="1" applyAlignment="1">
      <alignment horizontal="center" vertical="center"/>
    </xf>
    <xf numFmtId="43" fontId="23" fillId="2" borderId="1" xfId="1" applyFont="1" applyFill="1" applyBorder="1" applyAlignment="1">
      <alignment vertical="center"/>
    </xf>
    <xf numFmtId="43" fontId="23" fillId="2" borderId="1" xfId="1" applyFont="1" applyFill="1" applyBorder="1" applyAlignment="1">
      <alignment horizontal="left" vertical="center"/>
    </xf>
    <xf numFmtId="10" fontId="23" fillId="2" borderId="1" xfId="1" applyNumberFormat="1" applyFont="1" applyFill="1" applyBorder="1" applyAlignment="1">
      <alignment horizontal="center" vertical="center"/>
    </xf>
    <xf numFmtId="43" fontId="125" fillId="2" borderId="1" xfId="1" applyFont="1" applyFill="1" applyBorder="1" applyAlignment="1">
      <alignment horizontal="center" vertical="center"/>
    </xf>
    <xf numFmtId="9" fontId="23" fillId="2" borderId="1" xfId="1" applyNumberFormat="1" applyFont="1" applyFill="1" applyBorder="1" applyAlignment="1">
      <alignment horizontal="center" vertical="center"/>
    </xf>
    <xf numFmtId="9" fontId="23" fillId="2" borderId="1" xfId="2" applyFont="1" applyFill="1" applyBorder="1" applyAlignment="1">
      <alignment horizontal="center" vertical="center"/>
    </xf>
    <xf numFmtId="165" fontId="23" fillId="0" borderId="1" xfId="4" applyFont="1" applyFill="1" applyBorder="1" applyAlignment="1">
      <alignment vertical="center"/>
    </xf>
    <xf numFmtId="4" fontId="23" fillId="2" borderId="0" xfId="0" applyNumberFormat="1" applyFont="1" applyFill="1" applyAlignment="1">
      <alignment vertical="center"/>
    </xf>
    <xf numFmtId="43" fontId="23" fillId="2" borderId="15" xfId="1" applyFont="1" applyFill="1" applyBorder="1" applyAlignment="1">
      <alignment horizontal="left" vertical="center"/>
    </xf>
    <xf numFmtId="0" fontId="23" fillId="2" borderId="102" xfId="0" applyFont="1" applyFill="1" applyBorder="1" applyAlignment="1">
      <alignment vertical="center"/>
    </xf>
    <xf numFmtId="4" fontId="23" fillId="2" borderId="102" xfId="0" applyNumberFormat="1" applyFont="1" applyFill="1" applyBorder="1" applyAlignment="1">
      <alignment vertical="center"/>
    </xf>
    <xf numFmtId="0" fontId="9" fillId="2" borderId="0" xfId="0" applyFont="1" applyFill="1" applyAlignment="1">
      <alignment horizontal="center" vertical="center"/>
    </xf>
    <xf numFmtId="0" fontId="9" fillId="5" borderId="0" xfId="0" applyFont="1" applyFill="1" applyAlignment="1">
      <alignment vertical="center"/>
    </xf>
    <xf numFmtId="0" fontId="9" fillId="16" borderId="0" xfId="0" applyFont="1" applyFill="1" applyAlignment="1">
      <alignment horizontal="center" vertical="center"/>
    </xf>
    <xf numFmtId="0" fontId="12" fillId="2" borderId="0" xfId="0" applyFont="1" applyFill="1" applyAlignment="1">
      <alignment vertical="center"/>
    </xf>
    <xf numFmtId="17" fontId="23" fillId="2" borderId="1" xfId="0" applyNumberFormat="1" applyFont="1" applyFill="1" applyBorder="1" applyAlignment="1">
      <alignment horizontal="center" vertical="center"/>
    </xf>
    <xf numFmtId="17" fontId="23" fillId="2" borderId="1" xfId="0" quotePrefix="1" applyNumberFormat="1" applyFont="1" applyFill="1" applyBorder="1" applyAlignment="1">
      <alignment horizontal="center" vertical="center"/>
    </xf>
    <xf numFmtId="17" fontId="23" fillId="2" borderId="0" xfId="0" applyNumberFormat="1" applyFont="1" applyFill="1" applyAlignment="1">
      <alignment horizontal="center" vertical="center"/>
    </xf>
    <xf numFmtId="165" fontId="114" fillId="19" borderId="0" xfId="4" applyFont="1" applyFill="1" applyBorder="1" applyAlignment="1">
      <alignment horizontal="center" vertical="center"/>
    </xf>
    <xf numFmtId="165" fontId="4" fillId="2" borderId="1" xfId="4" applyFont="1" applyFill="1" applyBorder="1" applyAlignment="1">
      <alignment horizontal="center" vertical="center"/>
    </xf>
    <xf numFmtId="0" fontId="30" fillId="2" borderId="1" xfId="0" applyFont="1" applyFill="1" applyBorder="1" applyAlignment="1">
      <alignment vertical="center"/>
    </xf>
    <xf numFmtId="0" fontId="30" fillId="5" borderId="0" xfId="0" applyFont="1" applyFill="1" applyAlignment="1">
      <alignment vertical="center"/>
    </xf>
    <xf numFmtId="0" fontId="114" fillId="2" borderId="1" xfId="0" applyFont="1" applyFill="1" applyBorder="1" applyAlignment="1">
      <alignment vertical="center"/>
    </xf>
    <xf numFmtId="0" fontId="23" fillId="5" borderId="0" xfId="0" applyFont="1" applyFill="1" applyAlignment="1">
      <alignment vertical="center"/>
    </xf>
    <xf numFmtId="0" fontId="30" fillId="2" borderId="1" xfId="0" applyFont="1" applyFill="1" applyBorder="1" applyAlignment="1">
      <alignment horizontal="center" vertical="center"/>
    </xf>
    <xf numFmtId="1" fontId="23" fillId="19" borderId="1" xfId="1" applyNumberFormat="1" applyFont="1" applyFill="1" applyBorder="1" applyAlignment="1">
      <alignment horizontal="center" vertical="center"/>
    </xf>
    <xf numFmtId="17" fontId="23" fillId="19" borderId="1" xfId="0" applyNumberFormat="1" applyFont="1" applyFill="1" applyBorder="1" applyAlignment="1">
      <alignment horizontal="center" vertical="center"/>
    </xf>
    <xf numFmtId="0" fontId="23" fillId="19" borderId="1" xfId="0" applyFont="1" applyFill="1" applyBorder="1" applyAlignment="1">
      <alignment vertical="center"/>
    </xf>
    <xf numFmtId="0" fontId="23" fillId="19" borderId="1" xfId="0" applyFont="1" applyFill="1" applyBorder="1" applyAlignment="1">
      <alignment horizontal="center" vertical="center"/>
    </xf>
    <xf numFmtId="17" fontId="23" fillId="19" borderId="0" xfId="0" applyNumberFormat="1" applyFont="1" applyFill="1" applyAlignment="1">
      <alignment horizontal="center" vertical="center"/>
    </xf>
    <xf numFmtId="0" fontId="23" fillId="2" borderId="0" xfId="0" applyFont="1" applyFill="1" applyAlignment="1">
      <alignment horizontal="center" vertical="center"/>
    </xf>
    <xf numFmtId="186" fontId="23" fillId="2" borderId="0" xfId="0" applyNumberFormat="1" applyFont="1" applyFill="1" applyAlignment="1">
      <alignment vertical="center"/>
    </xf>
    <xf numFmtId="0" fontId="23" fillId="5" borderId="102" xfId="0" applyFont="1" applyFill="1" applyBorder="1" applyAlignment="1">
      <alignment vertical="center"/>
    </xf>
    <xf numFmtId="43" fontId="23" fillId="2" borderId="0" xfId="0" applyNumberFormat="1" applyFont="1" applyFill="1" applyAlignment="1">
      <alignment vertical="center"/>
    </xf>
    <xf numFmtId="43" fontId="54" fillId="2" borderId="0" xfId="1" applyFont="1" applyFill="1" applyBorder="1" applyAlignment="1">
      <alignment horizontal="left" vertical="center"/>
    </xf>
    <xf numFmtId="165" fontId="114" fillId="2" borderId="0" xfId="4" applyFont="1" applyFill="1" applyAlignment="1">
      <alignment vertical="center"/>
    </xf>
    <xf numFmtId="165" fontId="23" fillId="2" borderId="0" xfId="4" applyFont="1" applyFill="1" applyAlignment="1">
      <alignment vertical="center"/>
    </xf>
    <xf numFmtId="165" fontId="123" fillId="3" borderId="0" xfId="4" applyFont="1" applyFill="1" applyAlignment="1">
      <alignment vertical="center"/>
    </xf>
    <xf numFmtId="165" fontId="23" fillId="3" borderId="0" xfId="4" applyFont="1" applyFill="1" applyAlignment="1">
      <alignment vertical="center"/>
    </xf>
    <xf numFmtId="165" fontId="114" fillId="3" borderId="0" xfId="4" applyFont="1" applyFill="1" applyAlignment="1">
      <alignment vertical="center"/>
    </xf>
    <xf numFmtId="165" fontId="23" fillId="0" borderId="0" xfId="4" applyFont="1" applyFill="1" applyAlignment="1">
      <alignment vertical="center"/>
    </xf>
    <xf numFmtId="186" fontId="9" fillId="2" borderId="0" xfId="0" applyNumberFormat="1" applyFont="1" applyFill="1" applyAlignment="1">
      <alignment vertical="center"/>
    </xf>
    <xf numFmtId="0" fontId="0" fillId="16" borderId="0" xfId="0" applyFill="1" applyAlignment="1">
      <alignment horizontal="center" vertical="center"/>
    </xf>
    <xf numFmtId="0" fontId="9"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12" fillId="16" borderId="102" xfId="0" applyFont="1" applyFill="1" applyBorder="1" applyAlignment="1">
      <alignment vertical="center"/>
    </xf>
    <xf numFmtId="0" fontId="12" fillId="16" borderId="102" xfId="0" applyFont="1" applyFill="1" applyBorder="1" applyAlignment="1">
      <alignment horizontal="center" vertical="center"/>
    </xf>
    <xf numFmtId="0" fontId="23" fillId="2" borderId="15" xfId="0" applyFont="1" applyFill="1" applyBorder="1" applyAlignment="1">
      <alignment horizontal="center" vertical="center"/>
    </xf>
    <xf numFmtId="0" fontId="23" fillId="0" borderId="15" xfId="0" applyFont="1" applyBorder="1" applyAlignment="1">
      <alignment horizontal="center" vertical="center"/>
    </xf>
    <xf numFmtId="43" fontId="23" fillId="2" borderId="15" xfId="1" applyFont="1" applyFill="1" applyBorder="1" applyAlignment="1">
      <alignment vertical="center"/>
    </xf>
    <xf numFmtId="10" fontId="23" fillId="2" borderId="15" xfId="1" applyNumberFormat="1" applyFont="1" applyFill="1" applyBorder="1" applyAlignment="1">
      <alignment horizontal="center" vertical="center"/>
    </xf>
    <xf numFmtId="43" fontId="125" fillId="2" borderId="15" xfId="1" applyFont="1" applyFill="1" applyBorder="1" applyAlignment="1">
      <alignment horizontal="center" vertical="center"/>
    </xf>
    <xf numFmtId="9" fontId="23" fillId="2" borderId="15" xfId="1" applyNumberFormat="1" applyFont="1" applyFill="1" applyBorder="1" applyAlignment="1">
      <alignment horizontal="center" vertical="center"/>
    </xf>
    <xf numFmtId="9" fontId="23" fillId="2" borderId="15" xfId="2" applyFont="1" applyFill="1" applyBorder="1" applyAlignment="1">
      <alignment horizontal="center" vertical="center"/>
    </xf>
    <xf numFmtId="165" fontId="23" fillId="0" borderId="15" xfId="4" applyFont="1" applyFill="1" applyBorder="1" applyAlignment="1">
      <alignment vertical="center"/>
    </xf>
    <xf numFmtId="0" fontId="23" fillId="2" borderId="15" xfId="0" applyFont="1" applyFill="1" applyBorder="1" applyAlignment="1">
      <alignment horizontal="center"/>
    </xf>
    <xf numFmtId="0" fontId="23" fillId="0" borderId="15" xfId="0" applyFont="1" applyBorder="1" applyAlignment="1">
      <alignment horizontal="center"/>
    </xf>
    <xf numFmtId="43" fontId="23" fillId="2" borderId="15" xfId="1" applyFont="1" applyFill="1" applyBorder="1"/>
    <xf numFmtId="43" fontId="23" fillId="2" borderId="123" xfId="1" applyFont="1" applyFill="1" applyBorder="1" applyAlignment="1">
      <alignment horizontal="left"/>
    </xf>
    <xf numFmtId="10" fontId="23" fillId="2" borderId="15" xfId="1" applyNumberFormat="1" applyFont="1" applyFill="1" applyBorder="1" applyAlignment="1">
      <alignment horizontal="center"/>
    </xf>
    <xf numFmtId="43" fontId="125" fillId="2" borderId="15" xfId="1" applyFont="1" applyFill="1" applyBorder="1" applyAlignment="1">
      <alignment horizontal="center"/>
    </xf>
    <xf numFmtId="9" fontId="23" fillId="2" borderId="15" xfId="1" applyNumberFormat="1" applyFont="1" applyFill="1" applyBorder="1" applyAlignment="1">
      <alignment horizontal="center"/>
    </xf>
    <xf numFmtId="9" fontId="23" fillId="2" borderId="15" xfId="2" applyFont="1" applyFill="1" applyBorder="1" applyAlignment="1">
      <alignment horizontal="center"/>
    </xf>
    <xf numFmtId="165" fontId="23" fillId="0" borderId="15" xfId="4" applyFont="1" applyFill="1" applyBorder="1"/>
    <xf numFmtId="0" fontId="23" fillId="2" borderId="123" xfId="0" applyFont="1" applyFill="1" applyBorder="1" applyAlignment="1">
      <alignment horizontal="center" vertical="center"/>
    </xf>
    <xf numFmtId="0" fontId="23" fillId="0" borderId="123" xfId="0" applyFont="1" applyBorder="1" applyAlignment="1">
      <alignment horizontal="center" vertical="center"/>
    </xf>
    <xf numFmtId="43" fontId="23" fillId="2" borderId="123" xfId="1" applyFont="1" applyFill="1" applyBorder="1" applyAlignment="1">
      <alignment vertical="center"/>
    </xf>
    <xf numFmtId="43" fontId="23" fillId="2" borderId="123" xfId="1" applyFont="1" applyFill="1" applyBorder="1" applyAlignment="1">
      <alignment horizontal="left" vertical="center"/>
    </xf>
    <xf numFmtId="10" fontId="23" fillId="2" borderId="123" xfId="1" applyNumberFormat="1" applyFont="1" applyFill="1" applyBorder="1" applyAlignment="1">
      <alignment horizontal="center" vertical="center"/>
    </xf>
    <xf numFmtId="43" fontId="125" fillId="2" borderId="123" xfId="1" applyFont="1" applyFill="1" applyBorder="1" applyAlignment="1">
      <alignment horizontal="center" vertical="center"/>
    </xf>
    <xf numFmtId="9" fontId="23" fillId="2" borderId="123" xfId="1" applyNumberFormat="1" applyFont="1" applyFill="1" applyBorder="1" applyAlignment="1">
      <alignment horizontal="center" vertical="center"/>
    </xf>
    <xf numFmtId="9" fontId="23" fillId="2" borderId="123" xfId="2" applyFont="1" applyFill="1" applyBorder="1" applyAlignment="1">
      <alignment horizontal="center" vertical="center"/>
    </xf>
    <xf numFmtId="165" fontId="23" fillId="0" borderId="123" xfId="4" applyFont="1" applyFill="1" applyBorder="1" applyAlignment="1">
      <alignment vertical="center"/>
    </xf>
    <xf numFmtId="0" fontId="23" fillId="2" borderId="120" xfId="0" applyFont="1" applyFill="1" applyBorder="1" applyAlignment="1">
      <alignment horizontal="center" vertical="center"/>
    </xf>
    <xf numFmtId="0" fontId="23" fillId="0" borderId="120" xfId="0" applyFont="1" applyBorder="1" applyAlignment="1">
      <alignment horizontal="center" vertical="center"/>
    </xf>
    <xf numFmtId="43" fontId="23" fillId="2" borderId="120" xfId="1" applyFont="1" applyFill="1" applyBorder="1" applyAlignment="1">
      <alignment vertical="center"/>
    </xf>
    <xf numFmtId="43" fontId="23" fillId="2" borderId="120" xfId="1" applyFont="1" applyFill="1" applyBorder="1" applyAlignment="1">
      <alignment horizontal="left" vertical="center"/>
    </xf>
    <xf numFmtId="10" fontId="23" fillId="2" borderId="120" xfId="1" applyNumberFormat="1" applyFont="1" applyFill="1" applyBorder="1" applyAlignment="1">
      <alignment horizontal="center" vertical="center"/>
    </xf>
    <xf numFmtId="43" fontId="125" fillId="2" borderId="120" xfId="1" applyFont="1" applyFill="1" applyBorder="1" applyAlignment="1">
      <alignment horizontal="center" vertical="center"/>
    </xf>
    <xf numFmtId="9" fontId="23" fillId="2" borderId="120" xfId="1" applyNumberFormat="1" applyFont="1" applyFill="1" applyBorder="1" applyAlignment="1">
      <alignment horizontal="center" vertical="center"/>
    </xf>
    <xf numFmtId="9" fontId="23" fillId="2" borderId="120" xfId="2" applyFont="1" applyFill="1" applyBorder="1" applyAlignment="1">
      <alignment horizontal="center" vertical="center"/>
    </xf>
    <xf numFmtId="165" fontId="23" fillId="0" borderId="120" xfId="4" applyFont="1" applyFill="1" applyBorder="1" applyAlignment="1">
      <alignment vertical="center"/>
    </xf>
    <xf numFmtId="0" fontId="23" fillId="2" borderId="123" xfId="0" applyFont="1" applyFill="1" applyBorder="1" applyAlignment="1">
      <alignment horizontal="center"/>
    </xf>
    <xf numFmtId="0" fontId="23" fillId="0" borderId="123" xfId="0" applyFont="1" applyBorder="1" applyAlignment="1">
      <alignment horizontal="center"/>
    </xf>
    <xf numFmtId="0" fontId="114" fillId="0" borderId="123" xfId="0" applyFont="1" applyBorder="1" applyAlignment="1">
      <alignment horizontal="center"/>
    </xf>
    <xf numFmtId="43" fontId="23" fillId="2" borderId="123" xfId="1" applyFont="1" applyFill="1" applyBorder="1"/>
    <xf numFmtId="10" fontId="23" fillId="2" borderId="123" xfId="1" applyNumberFormat="1" applyFont="1" applyFill="1" applyBorder="1" applyAlignment="1">
      <alignment horizontal="center"/>
    </xf>
    <xf numFmtId="43" fontId="125" fillId="2" borderId="123" xfId="1" applyFont="1" applyFill="1" applyBorder="1" applyAlignment="1">
      <alignment horizontal="center"/>
    </xf>
    <xf numFmtId="9" fontId="23" fillId="2" borderId="123" xfId="1" applyNumberFormat="1" applyFont="1" applyFill="1" applyBorder="1" applyAlignment="1">
      <alignment horizontal="center"/>
    </xf>
    <xf numFmtId="9" fontId="23" fillId="2" borderId="123" xfId="2" applyFont="1" applyFill="1" applyBorder="1" applyAlignment="1">
      <alignment horizontal="center"/>
    </xf>
    <xf numFmtId="165" fontId="23" fillId="0" borderId="123" xfId="4" applyFont="1" applyFill="1" applyBorder="1"/>
    <xf numFmtId="10" fontId="23" fillId="2" borderId="120" xfId="1" applyNumberFormat="1" applyFont="1" applyFill="1" applyBorder="1" applyAlignment="1">
      <alignment horizontal="center"/>
    </xf>
    <xf numFmtId="43" fontId="125" fillId="2" borderId="120" xfId="1" applyFont="1" applyFill="1" applyBorder="1" applyAlignment="1">
      <alignment horizontal="center"/>
    </xf>
    <xf numFmtId="165" fontId="23" fillId="0" borderId="120" xfId="4" applyFont="1" applyFill="1" applyBorder="1"/>
    <xf numFmtId="165" fontId="114" fillId="19" borderId="1" xfId="4" quotePrefix="1" applyFont="1" applyFill="1" applyBorder="1" applyAlignment="1">
      <alignment horizontal="center" vertical="center"/>
    </xf>
    <xf numFmtId="165" fontId="114" fillId="19" borderId="1" xfId="4" quotePrefix="1" applyFont="1" applyFill="1" applyBorder="1" applyAlignment="1">
      <alignment horizontal="center" vertical="center" wrapText="1"/>
    </xf>
    <xf numFmtId="165" fontId="114" fillId="19" borderId="1" xfId="4" quotePrefix="1" applyFont="1" applyFill="1" applyBorder="1" applyAlignment="1">
      <alignment horizontal="center" vertical="center" wrapText="1"/>
    </xf>
    <xf numFmtId="165" fontId="114" fillId="19" borderId="1" xfId="4" quotePrefix="1" applyFont="1" applyFill="1" applyBorder="1" applyAlignment="1">
      <alignment horizontal="center" vertical="center"/>
    </xf>
    <xf numFmtId="165" fontId="114" fillId="19" borderId="1" xfId="4" quotePrefix="1" applyFont="1" applyFill="1" applyBorder="1" applyAlignment="1">
      <alignment horizontal="center" vertical="center"/>
    </xf>
    <xf numFmtId="165" fontId="114" fillId="19" borderId="1" xfId="4" applyFont="1" applyFill="1" applyBorder="1" applyAlignment="1">
      <alignment horizontal="center" vertical="center"/>
    </xf>
    <xf numFmtId="165" fontId="23" fillId="2" borderId="127" xfId="4" applyFont="1" applyFill="1" applyBorder="1" applyAlignment="1">
      <alignment horizontal="center" vertical="center" wrapText="1"/>
    </xf>
    <xf numFmtId="165" fontId="23" fillId="2" borderId="126" xfId="4" applyFont="1" applyFill="1" applyBorder="1" applyAlignment="1">
      <alignment horizontal="center" vertical="center" wrapText="1"/>
    </xf>
    <xf numFmtId="165" fontId="23" fillId="2" borderId="128" xfId="4" applyFont="1" applyFill="1" applyBorder="1" applyAlignment="1">
      <alignment horizontal="center" vertical="center" wrapText="1"/>
    </xf>
    <xf numFmtId="0" fontId="87" fillId="0" borderId="106" xfId="0" applyFont="1" applyBorder="1" applyAlignment="1">
      <alignment horizontal="center" vertical="center"/>
    </xf>
    <xf numFmtId="0" fontId="87" fillId="0" borderId="107" xfId="0" applyFont="1" applyBorder="1" applyAlignment="1">
      <alignment horizontal="center" vertical="center"/>
    </xf>
    <xf numFmtId="0" fontId="69" fillId="0" borderId="107" xfId="0" applyFont="1" applyBorder="1"/>
    <xf numFmtId="0" fontId="69" fillId="0" borderId="108" xfId="0" applyFont="1" applyBorder="1"/>
    <xf numFmtId="165" fontId="114" fillId="19" borderId="19" xfId="4" quotePrefix="1" applyFont="1" applyFill="1" applyBorder="1" applyAlignment="1">
      <alignment horizontal="center" vertical="center"/>
    </xf>
    <xf numFmtId="165" fontId="114" fillId="19" borderId="41" xfId="4" quotePrefix="1" applyFont="1" applyFill="1" applyBorder="1" applyAlignment="1">
      <alignment horizontal="center" vertical="center"/>
    </xf>
    <xf numFmtId="165" fontId="114" fillId="19" borderId="41" xfId="4" applyFont="1" applyFill="1" applyBorder="1" applyAlignment="1">
      <alignment horizontal="center" vertical="center"/>
    </xf>
    <xf numFmtId="165" fontId="114" fillId="19" borderId="1" xfId="4" quotePrefix="1" applyFont="1" applyFill="1" applyBorder="1" applyAlignment="1">
      <alignment horizontal="center" vertical="center" wrapText="1"/>
    </xf>
    <xf numFmtId="165" fontId="114" fillId="19" borderId="1" xfId="4" applyFont="1" applyFill="1" applyBorder="1" applyAlignment="1">
      <alignment horizontal="center" vertical="center" wrapText="1"/>
    </xf>
    <xf numFmtId="0" fontId="3" fillId="11" borderId="0" xfId="0" applyFont="1" applyFill="1" applyAlignment="1">
      <alignment horizontal="center"/>
    </xf>
    <xf numFmtId="0" fontId="52" fillId="0" borderId="1" xfId="0" applyFont="1" applyBorder="1" applyAlignment="1">
      <alignment horizontal="center"/>
    </xf>
    <xf numFmtId="0" fontId="12" fillId="3" borderId="0" xfId="0" applyFont="1" applyFill="1" applyAlignment="1">
      <alignment horizontal="center"/>
    </xf>
    <xf numFmtId="9" fontId="79" fillId="0" borderId="1" xfId="2" applyFont="1" applyBorder="1" applyAlignment="1" applyProtection="1">
      <alignment horizontal="center" vertical="center"/>
    </xf>
    <xf numFmtId="0" fontId="78" fillId="4" borderId="1" xfId="0" applyFont="1" applyFill="1" applyBorder="1" applyAlignment="1">
      <alignment horizontal="center" vertical="center"/>
    </xf>
    <xf numFmtId="0" fontId="79" fillId="0" borderId="14" xfId="0" applyFont="1" applyBorder="1" applyAlignment="1" applyProtection="1">
      <alignment horizontal="center" vertical="center"/>
      <protection locked="0"/>
    </xf>
    <xf numFmtId="0" fontId="79" fillId="0" borderId="17" xfId="0" applyFont="1" applyBorder="1" applyAlignment="1" applyProtection="1">
      <alignment horizontal="center" vertical="center"/>
      <protection locked="0"/>
    </xf>
    <xf numFmtId="0" fontId="79" fillId="0" borderId="23" xfId="0" applyFont="1" applyBorder="1" applyAlignment="1" applyProtection="1">
      <alignment horizontal="center" vertical="center"/>
      <protection locked="0"/>
    </xf>
    <xf numFmtId="0" fontId="48" fillId="0" borderId="1" xfId="0" applyFont="1" applyBorder="1" applyAlignment="1">
      <alignment horizontal="center" vertical="center"/>
    </xf>
    <xf numFmtId="3" fontId="48" fillId="0" borderId="1" xfId="0" applyNumberFormat="1" applyFont="1" applyBorder="1" applyAlignment="1">
      <alignment horizontal="center" vertical="center"/>
    </xf>
    <xf numFmtId="0" fontId="77" fillId="3" borderId="93" xfId="0" applyFont="1" applyFill="1" applyBorder="1" applyAlignment="1">
      <alignment horizontal="center" vertical="center"/>
    </xf>
    <xf numFmtId="0" fontId="78" fillId="4" borderId="14" xfId="0" applyFont="1" applyFill="1" applyBorder="1" applyAlignment="1">
      <alignment horizontal="center" vertical="center"/>
    </xf>
    <xf numFmtId="0" fontId="78" fillId="4" borderId="17" xfId="0" applyFont="1" applyFill="1" applyBorder="1" applyAlignment="1">
      <alignment horizontal="center" vertical="center"/>
    </xf>
    <xf numFmtId="0" fontId="78" fillId="4" borderId="23" xfId="0" applyFont="1" applyFill="1" applyBorder="1" applyAlignment="1">
      <alignment horizontal="center" vertical="center"/>
    </xf>
    <xf numFmtId="0" fontId="51" fillId="4" borderId="1" xfId="0" applyFont="1" applyFill="1" applyBorder="1" applyAlignment="1">
      <alignment horizontal="center" vertical="center"/>
    </xf>
    <xf numFmtId="0" fontId="49" fillId="14" borderId="44" xfId="0" applyFont="1" applyFill="1" applyBorder="1" applyAlignment="1">
      <alignment horizontal="center" vertical="center"/>
    </xf>
    <xf numFmtId="0" fontId="49" fillId="14" borderId="45" xfId="0" applyFont="1" applyFill="1" applyBorder="1" applyAlignment="1">
      <alignment horizontal="center" vertical="center"/>
    </xf>
    <xf numFmtId="0" fontId="49" fillId="14" borderId="46" xfId="0" applyFont="1" applyFill="1" applyBorder="1" applyAlignment="1">
      <alignment horizontal="center" vertical="center"/>
    </xf>
    <xf numFmtId="0" fontId="49" fillId="14" borderId="47" xfId="0" applyFont="1" applyFill="1" applyBorder="1" applyAlignment="1">
      <alignment horizontal="center" vertical="center"/>
    </xf>
    <xf numFmtId="0" fontId="49" fillId="14" borderId="48" xfId="0" applyFont="1" applyFill="1" applyBorder="1" applyAlignment="1">
      <alignment horizontal="center" vertical="center"/>
    </xf>
    <xf numFmtId="0" fontId="49" fillId="14" borderId="49" xfId="0" applyFont="1" applyFill="1" applyBorder="1" applyAlignment="1">
      <alignment horizontal="center" vertical="center"/>
    </xf>
    <xf numFmtId="167" fontId="49" fillId="11" borderId="52" xfId="0" applyNumberFormat="1" applyFont="1" applyFill="1" applyBorder="1" applyAlignment="1" applyProtection="1">
      <alignment horizontal="center" vertical="center"/>
      <protection locked="0"/>
    </xf>
    <xf numFmtId="167" fontId="49" fillId="11" borderId="53" xfId="0" applyNumberFormat="1" applyFont="1" applyFill="1" applyBorder="1" applyAlignment="1" applyProtection="1">
      <alignment horizontal="center" vertical="center"/>
      <protection locked="0"/>
    </xf>
    <xf numFmtId="167" fontId="49" fillId="11" borderId="54" xfId="0" applyNumberFormat="1" applyFont="1" applyFill="1" applyBorder="1" applyAlignment="1" applyProtection="1">
      <alignment horizontal="center" vertical="center"/>
      <protection locked="0"/>
    </xf>
    <xf numFmtId="0" fontId="49" fillId="11" borderId="52" xfId="0" applyFont="1" applyFill="1" applyBorder="1" applyAlignment="1" applyProtection="1">
      <alignment horizontal="center" vertical="center"/>
      <protection locked="0"/>
    </xf>
    <xf numFmtId="0" fontId="49" fillId="11" borderId="53" xfId="0" applyFont="1" applyFill="1" applyBorder="1" applyAlignment="1" applyProtection="1">
      <alignment horizontal="center" vertical="center"/>
      <protection locked="0"/>
    </xf>
    <xf numFmtId="0" fontId="49" fillId="11" borderId="54" xfId="0" applyFont="1" applyFill="1" applyBorder="1" applyAlignment="1" applyProtection="1">
      <alignment horizontal="center" vertical="center"/>
      <protection locked="0"/>
    </xf>
    <xf numFmtId="0" fontId="51" fillId="10" borderId="0" xfId="0" applyFont="1" applyFill="1" applyAlignment="1">
      <alignment horizontal="center" vertical="center"/>
    </xf>
    <xf numFmtId="0" fontId="49" fillId="0" borderId="50" xfId="0" applyFont="1" applyBorder="1" applyAlignment="1">
      <alignment horizontal="center" vertical="center"/>
    </xf>
    <xf numFmtId="0" fontId="51" fillId="10" borderId="0" xfId="0" applyFont="1" applyFill="1" applyAlignment="1">
      <alignment horizontal="center" vertical="center" wrapText="1"/>
    </xf>
    <xf numFmtId="0" fontId="49" fillId="14" borderId="51" xfId="0" applyFont="1" applyFill="1" applyBorder="1" applyAlignment="1">
      <alignment horizontal="center" vertical="center"/>
    </xf>
    <xf numFmtId="0" fontId="49" fillId="11" borderId="51" xfId="0" applyFont="1" applyFill="1" applyBorder="1" applyAlignment="1" applyProtection="1">
      <alignment horizontal="center" vertical="center"/>
      <protection locked="0"/>
    </xf>
    <xf numFmtId="180" fontId="49" fillId="14" borderId="52" xfId="0" applyNumberFormat="1" applyFont="1" applyFill="1" applyBorder="1" applyAlignment="1">
      <alignment horizontal="center" vertical="center"/>
    </xf>
    <xf numFmtId="180" fontId="49" fillId="14" borderId="53" xfId="0" applyNumberFormat="1" applyFont="1" applyFill="1" applyBorder="1" applyAlignment="1">
      <alignment horizontal="center" vertical="center"/>
    </xf>
    <xf numFmtId="180" fontId="49" fillId="14" borderId="54" xfId="0" applyNumberFormat="1" applyFont="1" applyFill="1" applyBorder="1" applyAlignment="1">
      <alignment horizontal="center" vertical="center"/>
    </xf>
    <xf numFmtId="10" fontId="49" fillId="14" borderId="52" xfId="2" applyNumberFormat="1" applyFont="1" applyFill="1" applyBorder="1" applyAlignment="1" applyProtection="1">
      <alignment horizontal="center" vertical="center"/>
    </xf>
    <xf numFmtId="10" fontId="49" fillId="14" borderId="53" xfId="2" applyNumberFormat="1" applyFont="1" applyFill="1" applyBorder="1" applyAlignment="1" applyProtection="1">
      <alignment horizontal="center" vertical="center"/>
    </xf>
    <xf numFmtId="10" fontId="49" fillId="14" borderId="54" xfId="2" applyNumberFormat="1" applyFont="1" applyFill="1" applyBorder="1" applyAlignment="1" applyProtection="1">
      <alignment horizontal="center" vertical="center"/>
    </xf>
    <xf numFmtId="0" fontId="48" fillId="0" borderId="88" xfId="0" applyFont="1" applyBorder="1" applyAlignment="1" applyProtection="1">
      <alignment horizontal="center" vertical="center"/>
      <protection locked="0"/>
    </xf>
    <xf numFmtId="0" fontId="48" fillId="0" borderId="84" xfId="0" applyFont="1" applyBorder="1" applyAlignment="1" applyProtection="1">
      <alignment horizontal="center" vertical="center"/>
      <protection locked="0"/>
    </xf>
    <xf numFmtId="0" fontId="48" fillId="0" borderId="84" xfId="5" applyNumberFormat="1" applyFont="1" applyBorder="1" applyAlignment="1" applyProtection="1">
      <alignment horizontal="center" vertical="center" wrapText="1"/>
      <protection locked="0"/>
    </xf>
    <xf numFmtId="178" fontId="48" fillId="0" borderId="84" xfId="0" applyNumberFormat="1" applyFont="1" applyBorder="1" applyAlignment="1" applyProtection="1">
      <alignment horizontal="center" vertical="center"/>
      <protection locked="0"/>
    </xf>
    <xf numFmtId="178" fontId="48" fillId="0" borderId="89" xfId="0" applyNumberFormat="1" applyFont="1" applyBorder="1" applyAlignment="1" applyProtection="1">
      <alignment horizontal="center" vertical="center"/>
      <protection locked="0"/>
    </xf>
    <xf numFmtId="0" fontId="51" fillId="12" borderId="84" xfId="0" applyFont="1" applyFill="1" applyBorder="1" applyAlignment="1">
      <alignment horizontal="center" vertical="center"/>
    </xf>
    <xf numFmtId="0" fontId="51" fillId="10" borderId="88" xfId="0" applyFont="1" applyFill="1" applyBorder="1" applyAlignment="1">
      <alignment horizontal="center" vertical="center"/>
    </xf>
    <xf numFmtId="0" fontId="51" fillId="10" borderId="84" xfId="0" applyFont="1" applyFill="1" applyBorder="1" applyAlignment="1">
      <alignment horizontal="center" vertical="center"/>
    </xf>
    <xf numFmtId="0" fontId="51" fillId="10" borderId="89" xfId="0" applyFont="1" applyFill="1" applyBorder="1" applyAlignment="1">
      <alignment horizontal="center" vertical="center"/>
    </xf>
    <xf numFmtId="0" fontId="51" fillId="12" borderId="88" xfId="0" applyFont="1" applyFill="1" applyBorder="1" applyAlignment="1">
      <alignment horizontal="center" vertical="center"/>
    </xf>
    <xf numFmtId="0" fontId="51" fillId="12" borderId="89" xfId="0" applyFont="1" applyFill="1" applyBorder="1" applyAlignment="1">
      <alignment horizontal="center" vertical="center"/>
    </xf>
    <xf numFmtId="0" fontId="68" fillId="13" borderId="85" xfId="0" applyFont="1" applyFill="1" applyBorder="1" applyAlignment="1">
      <alignment horizontal="center" vertical="center"/>
    </xf>
    <xf numFmtId="0" fontId="68" fillId="13" borderId="86" xfId="0" applyFont="1" applyFill="1" applyBorder="1" applyAlignment="1">
      <alignment horizontal="center" vertical="center"/>
    </xf>
    <xf numFmtId="0" fontId="68" fillId="13" borderId="87" xfId="0" applyFont="1" applyFill="1" applyBorder="1" applyAlignment="1">
      <alignment horizontal="center" vertical="center"/>
    </xf>
    <xf numFmtId="0" fontId="49" fillId="11" borderId="58" xfId="0" applyFont="1" applyFill="1" applyBorder="1" applyAlignment="1" applyProtection="1">
      <alignment horizontal="center" vertical="center" wrapText="1"/>
      <protection locked="0"/>
    </xf>
    <xf numFmtId="0" fontId="49" fillId="11" borderId="59" xfId="0" applyFont="1" applyFill="1" applyBorder="1" applyAlignment="1" applyProtection="1">
      <alignment horizontal="center" vertical="center" wrapText="1"/>
      <protection locked="0"/>
    </xf>
    <xf numFmtId="0" fontId="49" fillId="11" borderId="60" xfId="0" applyFont="1" applyFill="1" applyBorder="1" applyAlignment="1" applyProtection="1">
      <alignment horizontal="center" vertical="center" wrapText="1"/>
      <protection locked="0"/>
    </xf>
    <xf numFmtId="0" fontId="49" fillId="11" borderId="61" xfId="0" applyFont="1" applyFill="1" applyBorder="1" applyAlignment="1" applyProtection="1">
      <alignment horizontal="center" vertical="center" wrapText="1"/>
      <protection locked="0"/>
    </xf>
    <xf numFmtId="0" fontId="49" fillId="11" borderId="62" xfId="0" applyFont="1" applyFill="1" applyBorder="1" applyAlignment="1" applyProtection="1">
      <alignment horizontal="center" vertical="center" wrapText="1"/>
      <protection locked="0"/>
    </xf>
    <xf numFmtId="0" fontId="49" fillId="11" borderId="63" xfId="0" applyFont="1" applyFill="1" applyBorder="1" applyAlignment="1" applyProtection="1">
      <alignment horizontal="center" vertical="center" wrapText="1"/>
      <protection locked="0"/>
    </xf>
    <xf numFmtId="0" fontId="48" fillId="0" borderId="89" xfId="0" applyFont="1" applyBorder="1" applyAlignment="1" applyProtection="1">
      <alignment horizontal="center" vertical="center"/>
      <protection locked="0"/>
    </xf>
    <xf numFmtId="0" fontId="48" fillId="0" borderId="91" xfId="0" applyFont="1" applyBorder="1" applyAlignment="1" applyProtection="1">
      <alignment horizontal="center" vertical="center"/>
      <protection locked="0"/>
    </xf>
    <xf numFmtId="0" fontId="48" fillId="0" borderId="92" xfId="0" applyFont="1" applyBorder="1" applyAlignment="1" applyProtection="1">
      <alignment horizontal="center" vertical="center"/>
      <protection locked="0"/>
    </xf>
    <xf numFmtId="0" fontId="48" fillId="0" borderId="91" xfId="5" applyNumberFormat="1" applyFont="1" applyBorder="1" applyAlignment="1" applyProtection="1">
      <alignment horizontal="center" vertical="center" wrapText="1"/>
      <protection locked="0"/>
    </xf>
    <xf numFmtId="0" fontId="48" fillId="0" borderId="90" xfId="0" applyFont="1" applyBorder="1" applyAlignment="1" applyProtection="1">
      <alignment horizontal="center" vertical="center"/>
      <protection locked="0"/>
    </xf>
    <xf numFmtId="0" fontId="93" fillId="0" borderId="14" xfId="0" applyFont="1" applyBorder="1" applyAlignment="1">
      <alignment horizontal="center" vertical="center"/>
    </xf>
    <xf numFmtId="0" fontId="93" fillId="0" borderId="17" xfId="0" applyFont="1" applyBorder="1" applyAlignment="1">
      <alignment horizontal="center" vertical="center"/>
    </xf>
    <xf numFmtId="0" fontId="93" fillId="0" borderId="23" xfId="0" applyFont="1" applyBorder="1" applyAlignment="1">
      <alignment horizontal="center" vertical="center"/>
    </xf>
    <xf numFmtId="0" fontId="93" fillId="0" borderId="14" xfId="0" applyFont="1" applyBorder="1" applyAlignment="1" applyProtection="1">
      <alignment horizontal="center" vertical="center"/>
      <protection locked="0"/>
    </xf>
    <xf numFmtId="0" fontId="93" fillId="0" borderId="17" xfId="0" applyFont="1" applyBorder="1" applyAlignment="1" applyProtection="1">
      <alignment horizontal="center" vertical="center"/>
      <protection locked="0"/>
    </xf>
    <xf numFmtId="0" fontId="93" fillId="0" borderId="23" xfId="0" applyFont="1" applyBorder="1" applyAlignment="1" applyProtection="1">
      <alignment horizontal="center" vertical="center"/>
      <protection locked="0"/>
    </xf>
    <xf numFmtId="0" fontId="68" fillId="4" borderId="14" xfId="0" applyFont="1" applyFill="1" applyBorder="1" applyAlignment="1">
      <alignment horizontal="center" vertical="center"/>
    </xf>
    <xf numFmtId="0" fontId="68" fillId="4" borderId="17" xfId="0" applyFont="1" applyFill="1" applyBorder="1" applyAlignment="1">
      <alignment horizontal="center" vertical="center"/>
    </xf>
    <xf numFmtId="0" fontId="68" fillId="4" borderId="23" xfId="0" applyFont="1" applyFill="1" applyBorder="1" applyAlignment="1">
      <alignment horizontal="center" vertical="center"/>
    </xf>
    <xf numFmtId="0" fontId="80" fillId="0" borderId="1" xfId="0" applyFont="1" applyBorder="1" applyAlignment="1">
      <alignment horizontal="center" vertical="center"/>
    </xf>
    <xf numFmtId="9" fontId="80" fillId="0" borderId="1" xfId="0" applyNumberFormat="1" applyFont="1" applyBorder="1" applyAlignment="1">
      <alignment horizontal="center" vertical="center"/>
    </xf>
    <xf numFmtId="0" fontId="57" fillId="0" borderId="1" xfId="0" applyFont="1" applyBorder="1" applyAlignment="1">
      <alignment horizontal="center"/>
    </xf>
    <xf numFmtId="0" fontId="57" fillId="0" borderId="1" xfId="0" applyFont="1" applyBorder="1" applyAlignment="1" applyProtection="1">
      <alignment horizontal="center"/>
      <protection locked="0"/>
    </xf>
    <xf numFmtId="0" fontId="21" fillId="4" borderId="0" xfId="0" applyFont="1" applyFill="1" applyAlignment="1">
      <alignment horizontal="center"/>
    </xf>
    <xf numFmtId="0" fontId="61" fillId="2" borderId="0" xfId="0" applyFont="1" applyFill="1" applyAlignment="1">
      <alignment horizontal="center"/>
    </xf>
    <xf numFmtId="182" fontId="8" fillId="0" borderId="14" xfId="0" applyNumberFormat="1" applyFont="1" applyBorder="1" applyAlignment="1">
      <alignment horizontal="center"/>
    </xf>
    <xf numFmtId="182" fontId="8" fillId="0" borderId="23" xfId="0" applyNumberFormat="1" applyFont="1" applyBorder="1" applyAlignment="1">
      <alignment horizontal="center"/>
    </xf>
    <xf numFmtId="0" fontId="14" fillId="0" borderId="14" xfId="0" applyFont="1" applyBorder="1" applyAlignment="1">
      <alignment horizontal="center" vertical="center"/>
    </xf>
    <xf numFmtId="0" fontId="14" fillId="0" borderId="23" xfId="0" applyFont="1" applyBorder="1" applyAlignment="1">
      <alignment horizontal="center" vertical="center"/>
    </xf>
    <xf numFmtId="0" fontId="21" fillId="4" borderId="0" xfId="0" applyFont="1" applyFill="1" applyAlignment="1">
      <alignment horizontal="center" vertical="center"/>
    </xf>
    <xf numFmtId="0" fontId="14" fillId="0" borderId="16" xfId="0" applyFont="1" applyBorder="1" applyAlignment="1" applyProtection="1">
      <alignment horizontal="center" vertical="center"/>
      <protection locked="0"/>
    </xf>
    <xf numFmtId="169" fontId="8" fillId="0" borderId="19" xfId="0" applyNumberFormat="1" applyFont="1" applyBorder="1" applyAlignment="1">
      <alignment horizontal="center" vertical="center" wrapText="1"/>
    </xf>
    <xf numFmtId="169" fontId="8" fillId="0" borderId="67" xfId="0" applyNumberFormat="1" applyFont="1" applyBorder="1" applyAlignment="1">
      <alignment horizontal="center" vertical="center" wrapText="1"/>
    </xf>
    <xf numFmtId="169" fontId="8" fillId="0" borderId="41" xfId="0" applyNumberFormat="1" applyFont="1" applyBorder="1" applyAlignment="1">
      <alignment horizontal="center" vertical="center" wrapText="1"/>
    </xf>
    <xf numFmtId="169" fontId="8" fillId="0" borderId="40" xfId="0" applyNumberFormat="1" applyFont="1" applyBorder="1" applyAlignment="1">
      <alignment horizontal="center" vertical="center" wrapText="1"/>
    </xf>
    <xf numFmtId="169" fontId="8" fillId="0" borderId="16" xfId="0" applyNumberFormat="1" applyFont="1" applyBorder="1" applyAlignment="1">
      <alignment horizontal="center" vertical="center" wrapText="1"/>
    </xf>
    <xf numFmtId="169" fontId="8" fillId="0" borderId="68" xfId="0" applyNumberFormat="1" applyFont="1" applyBorder="1" applyAlignment="1">
      <alignment horizontal="center" vertical="center" wrapText="1"/>
    </xf>
    <xf numFmtId="0" fontId="8" fillId="0" borderId="19"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68" xfId="0" applyFont="1" applyBorder="1" applyAlignment="1">
      <alignment horizontal="center" vertical="center" wrapText="1"/>
    </xf>
    <xf numFmtId="0" fontId="8" fillId="0" borderId="67" xfId="0" applyFont="1" applyBorder="1" applyAlignment="1">
      <alignment horizontal="center" vertical="center" wrapText="1"/>
    </xf>
    <xf numFmtId="0" fontId="8" fillId="0" borderId="16" xfId="0" applyFont="1" applyBorder="1" applyAlignment="1">
      <alignment horizontal="center" vertical="center" wrapText="1"/>
    </xf>
    <xf numFmtId="0" fontId="14" fillId="0" borderId="1" xfId="0" applyFont="1" applyBorder="1" applyAlignment="1">
      <alignment horizontal="center" vertical="center"/>
    </xf>
    <xf numFmtId="167" fontId="14" fillId="0" borderId="77" xfId="0" applyNumberFormat="1"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5" xfId="0" applyFont="1" applyBorder="1" applyAlignment="1">
      <alignment horizontal="center" vertical="center"/>
    </xf>
    <xf numFmtId="0" fontId="21" fillId="5" borderId="75" xfId="0" applyFont="1" applyFill="1" applyBorder="1" applyAlignment="1">
      <alignment horizontal="left" vertical="center"/>
    </xf>
    <xf numFmtId="0" fontId="11" fillId="5" borderId="30" xfId="0" applyFont="1" applyFill="1" applyBorder="1" applyAlignment="1">
      <alignment horizontal="center" vertical="center"/>
    </xf>
    <xf numFmtId="0" fontId="11" fillId="5" borderId="66" xfId="0" applyFont="1" applyFill="1" applyBorder="1" applyAlignment="1">
      <alignment horizontal="center" vertical="center"/>
    </xf>
    <xf numFmtId="0" fontId="11" fillId="5" borderId="0" xfId="0" applyFont="1" applyFill="1" applyAlignment="1">
      <alignment horizontal="center" vertical="center"/>
    </xf>
    <xf numFmtId="2" fontId="18" fillId="0" borderId="7" xfId="0" applyNumberFormat="1" applyFont="1" applyBorder="1" applyAlignment="1">
      <alignment horizontal="center" vertical="center"/>
    </xf>
    <xf numFmtId="2" fontId="18" fillId="0" borderId="8" xfId="0" applyNumberFormat="1" applyFont="1" applyBorder="1" applyAlignment="1">
      <alignment horizontal="center" vertical="center"/>
    </xf>
    <xf numFmtId="2" fontId="14" fillId="0" borderId="7" xfId="0" applyNumberFormat="1" applyFont="1" applyBorder="1" applyAlignment="1">
      <alignment horizontal="center" vertical="center"/>
    </xf>
    <xf numFmtId="2" fontId="14" fillId="0" borderId="8" xfId="0" applyNumberFormat="1" applyFont="1" applyBorder="1" applyAlignment="1">
      <alignment horizontal="center" vertical="center"/>
    </xf>
    <xf numFmtId="0" fontId="14" fillId="0" borderId="8" xfId="0" applyFont="1" applyBorder="1" applyAlignment="1">
      <alignment vertical="center"/>
    </xf>
    <xf numFmtId="0" fontId="14" fillId="0" borderId="9" xfId="0" applyFont="1" applyBorder="1" applyAlignment="1">
      <alignment vertical="center"/>
    </xf>
    <xf numFmtId="0" fontId="10" fillId="5" borderId="1" xfId="0" applyFont="1" applyFill="1" applyBorder="1" applyAlignment="1">
      <alignment horizontal="center" vertical="center"/>
    </xf>
    <xf numFmtId="14" fontId="10" fillId="5" borderId="1" xfId="0" applyNumberFormat="1" applyFont="1" applyFill="1" applyBorder="1" applyAlignment="1">
      <alignment horizontal="center" vertical="center"/>
    </xf>
    <xf numFmtId="169" fontId="14" fillId="0" borderId="1" xfId="0" applyNumberFormat="1" applyFont="1" applyBorder="1" applyAlignment="1">
      <alignment horizontal="center" vertical="center"/>
    </xf>
    <xf numFmtId="0" fontId="10" fillId="5" borderId="19" xfId="0" applyFont="1" applyFill="1" applyBorder="1" applyAlignment="1">
      <alignment horizontal="center" vertical="center"/>
    </xf>
    <xf numFmtId="0" fontId="10" fillId="5" borderId="41" xfId="0" applyFont="1" applyFill="1" applyBorder="1" applyAlignment="1">
      <alignment horizontal="center" vertical="center"/>
    </xf>
    <xf numFmtId="0" fontId="10" fillId="5" borderId="40" xfId="0" applyFont="1" applyFill="1" applyBorder="1" applyAlignment="1">
      <alignment horizontal="center" vertical="center"/>
    </xf>
    <xf numFmtId="0" fontId="10" fillId="5" borderId="68" xfId="0" applyFont="1" applyFill="1" applyBorder="1" applyAlignment="1">
      <alignment horizontal="center" vertical="center"/>
    </xf>
    <xf numFmtId="169" fontId="18" fillId="0" borderId="1" xfId="0" applyNumberFormat="1" applyFont="1" applyBorder="1" applyAlignment="1">
      <alignment horizontal="center" vertical="center"/>
    </xf>
    <xf numFmtId="169" fontId="15" fillId="0" borderId="7" xfId="0" applyNumberFormat="1" applyFont="1" applyBorder="1" applyAlignment="1">
      <alignment horizontal="left" vertical="center"/>
    </xf>
    <xf numFmtId="169" fontId="15" fillId="0" borderId="8" xfId="0" applyNumberFormat="1" applyFont="1" applyBorder="1" applyAlignment="1">
      <alignment horizontal="left" vertical="center"/>
    </xf>
    <xf numFmtId="169" fontId="15" fillId="0" borderId="9" xfId="0" applyNumberFormat="1" applyFont="1" applyBorder="1" applyAlignment="1">
      <alignment horizontal="left" vertical="center"/>
    </xf>
    <xf numFmtId="0" fontId="14" fillId="0" borderId="0" xfId="0" applyFont="1" applyAlignment="1">
      <alignment horizontal="center" vertical="center"/>
    </xf>
    <xf numFmtId="43" fontId="14" fillId="0" borderId="0" xfId="1" applyFont="1" applyAlignment="1" applyProtection="1">
      <alignment horizontal="center" vertical="center"/>
    </xf>
    <xf numFmtId="43" fontId="15" fillId="0" borderId="16" xfId="1" applyFont="1" applyBorder="1" applyAlignment="1" applyProtection="1">
      <alignment horizontal="center" vertical="center"/>
    </xf>
    <xf numFmtId="0" fontId="14" fillId="0" borderId="17" xfId="0" applyFont="1" applyBorder="1" applyAlignment="1">
      <alignment horizontal="center" vertical="center"/>
    </xf>
    <xf numFmtId="0" fontId="14" fillId="0" borderId="17" xfId="0" applyFont="1" applyBorder="1" applyAlignment="1">
      <alignment horizontal="left" vertical="center"/>
    </xf>
    <xf numFmtId="43" fontId="15" fillId="0" borderId="18" xfId="1" applyFont="1" applyBorder="1" applyAlignment="1" applyProtection="1">
      <alignment horizontal="center" vertical="center"/>
    </xf>
    <xf numFmtId="0" fontId="14" fillId="0" borderId="8" xfId="0" applyFont="1" applyBorder="1" applyAlignment="1">
      <alignment horizontal="left" vertical="center"/>
    </xf>
    <xf numFmtId="0" fontId="18" fillId="0" borderId="14" xfId="0" applyFont="1" applyBorder="1" applyAlignment="1">
      <alignment horizontal="center" vertical="center"/>
    </xf>
    <xf numFmtId="0" fontId="18" fillId="0" borderId="23" xfId="0" applyFont="1" applyBorder="1" applyAlignment="1">
      <alignment horizontal="center" vertical="center"/>
    </xf>
    <xf numFmtId="169" fontId="18" fillId="0" borderId="14" xfId="0" applyNumberFormat="1" applyFont="1" applyBorder="1" applyAlignment="1">
      <alignment horizontal="center" vertical="center"/>
    </xf>
    <xf numFmtId="169" fontId="18" fillId="0" borderId="23" xfId="0" applyNumberFormat="1" applyFont="1" applyBorder="1" applyAlignment="1">
      <alignment horizontal="center" vertical="center"/>
    </xf>
    <xf numFmtId="0" fontId="15" fillId="9" borderId="1" xfId="0" applyFont="1" applyFill="1" applyBorder="1" applyAlignment="1">
      <alignment horizontal="center" vertical="center"/>
    </xf>
    <xf numFmtId="169" fontId="15" fillId="9" borderId="1" xfId="1" applyNumberFormat="1" applyFont="1" applyFill="1" applyBorder="1" applyAlignment="1" applyProtection="1">
      <alignment horizontal="center" vertical="center"/>
    </xf>
    <xf numFmtId="178" fontId="72" fillId="9" borderId="14" xfId="0" applyNumberFormat="1" applyFont="1" applyFill="1" applyBorder="1" applyAlignment="1">
      <alignment horizontal="center" vertical="center"/>
    </xf>
    <xf numFmtId="178" fontId="72" fillId="9" borderId="23" xfId="0" applyNumberFormat="1" applyFont="1" applyFill="1" applyBorder="1" applyAlignment="1">
      <alignment horizontal="center" vertical="center"/>
    </xf>
    <xf numFmtId="0" fontId="15" fillId="0" borderId="0" xfId="0" applyFont="1" applyAlignment="1">
      <alignment horizontal="center" vertical="center"/>
    </xf>
    <xf numFmtId="169" fontId="15" fillId="0" borderId="0" xfId="1" applyNumberFormat="1" applyFont="1" applyFill="1" applyBorder="1" applyAlignment="1" applyProtection="1">
      <alignment horizontal="center" vertical="center"/>
    </xf>
    <xf numFmtId="165" fontId="14" fillId="0" borderId="0" xfId="0" applyNumberFormat="1" applyFont="1" applyAlignment="1">
      <alignment horizontal="center" vertical="center"/>
    </xf>
    <xf numFmtId="169" fontId="33" fillId="0" borderId="8" xfId="1" applyNumberFormat="1" applyFont="1" applyBorder="1" applyAlignment="1" applyProtection="1">
      <alignment horizontal="left" vertical="center"/>
    </xf>
    <xf numFmtId="169" fontId="33" fillId="0" borderId="9" xfId="1" applyNumberFormat="1" applyFont="1" applyBorder="1" applyAlignment="1" applyProtection="1">
      <alignment horizontal="left" vertical="center"/>
    </xf>
    <xf numFmtId="169" fontId="14" fillId="0" borderId="8" xfId="1" applyNumberFormat="1" applyFont="1" applyBorder="1" applyAlignment="1" applyProtection="1">
      <alignment horizontal="left" vertical="center"/>
    </xf>
    <xf numFmtId="169" fontId="14" fillId="0" borderId="9" xfId="1" applyNumberFormat="1" applyFont="1" applyBorder="1" applyAlignment="1" applyProtection="1">
      <alignment horizontal="left" vertical="center"/>
    </xf>
    <xf numFmtId="169" fontId="15" fillId="0" borderId="8" xfId="1" applyNumberFormat="1" applyFont="1" applyBorder="1" applyAlignment="1" applyProtection="1">
      <alignment horizontal="left" vertical="center"/>
    </xf>
    <xf numFmtId="169" fontId="15" fillId="0" borderId="9" xfId="1" applyNumberFormat="1" applyFont="1" applyBorder="1" applyAlignment="1" applyProtection="1">
      <alignment horizontal="left" vertical="center"/>
    </xf>
    <xf numFmtId="169" fontId="14" fillId="0" borderId="7" xfId="0" applyNumberFormat="1" applyFont="1" applyBorder="1" applyAlignment="1">
      <alignment horizontal="left" vertical="center"/>
    </xf>
    <xf numFmtId="169" fontId="14" fillId="0" borderId="8" xfId="0" applyNumberFormat="1" applyFont="1" applyBorder="1" applyAlignment="1">
      <alignment horizontal="left" vertical="center"/>
    </xf>
    <xf numFmtId="169" fontId="14" fillId="0" borderId="9" xfId="0" applyNumberFormat="1" applyFont="1" applyBorder="1" applyAlignment="1">
      <alignment horizontal="left" vertical="center"/>
    </xf>
    <xf numFmtId="0" fontId="10" fillId="5" borderId="0" xfId="0" applyFont="1" applyFill="1" applyAlignment="1">
      <alignment horizontal="left" vertical="center"/>
    </xf>
    <xf numFmtId="2" fontId="14" fillId="0" borderId="14" xfId="0" applyNumberFormat="1" applyFont="1" applyBorder="1" applyAlignment="1">
      <alignment horizontal="center" vertical="center"/>
    </xf>
    <xf numFmtId="2" fontId="14" fillId="0" borderId="17" xfId="0" applyNumberFormat="1" applyFont="1" applyBorder="1" applyAlignment="1">
      <alignment horizontal="center" vertical="center"/>
    </xf>
    <xf numFmtId="0" fontId="14" fillId="0" borderId="17" xfId="0" applyFont="1" applyBorder="1" applyAlignment="1">
      <alignment vertical="center"/>
    </xf>
    <xf numFmtId="0" fontId="14" fillId="0" borderId="23" xfId="0" applyFont="1" applyBorder="1" applyAlignment="1">
      <alignment vertical="center"/>
    </xf>
    <xf numFmtId="169" fontId="33" fillId="0" borderId="8" xfId="0" applyNumberFormat="1" applyFont="1" applyBorder="1" applyAlignment="1">
      <alignment horizontal="left" vertical="center"/>
    </xf>
    <xf numFmtId="169" fontId="33" fillId="0" borderId="9" xfId="0" applyNumberFormat="1" applyFont="1" applyBorder="1" applyAlignment="1">
      <alignment horizontal="left" vertical="center"/>
    </xf>
    <xf numFmtId="169" fontId="33" fillId="0" borderId="7" xfId="0" applyNumberFormat="1" applyFont="1" applyBorder="1" applyAlignment="1">
      <alignment horizontal="left" vertical="center"/>
    </xf>
    <xf numFmtId="0" fontId="14" fillId="0" borderId="14" xfId="0" applyFont="1" applyBorder="1" applyAlignment="1">
      <alignment horizontal="center"/>
    </xf>
    <xf numFmtId="0" fontId="14" fillId="0" borderId="23" xfId="0" applyFont="1" applyBorder="1" applyAlignment="1">
      <alignment horizontal="center"/>
    </xf>
    <xf numFmtId="169" fontId="14" fillId="0" borderId="1" xfId="0" applyNumberFormat="1" applyFont="1" applyBorder="1" applyAlignment="1" applyProtection="1">
      <alignment horizontal="center" vertical="center"/>
      <protection locked="0"/>
    </xf>
    <xf numFmtId="182" fontId="14" fillId="0" borderId="14" xfId="0" applyNumberFormat="1" applyFont="1" applyBorder="1" applyAlignment="1">
      <alignment horizontal="center"/>
    </xf>
    <xf numFmtId="182" fontId="14" fillId="0" borderId="23" xfId="0" applyNumberFormat="1" applyFont="1" applyBorder="1" applyAlignment="1">
      <alignment horizontal="center"/>
    </xf>
    <xf numFmtId="169" fontId="18" fillId="0" borderId="0" xfId="0" applyNumberFormat="1" applyFont="1" applyAlignment="1">
      <alignment horizontal="left" vertical="center"/>
    </xf>
    <xf numFmtId="169" fontId="18" fillId="0" borderId="21" xfId="0" applyNumberFormat="1" applyFont="1" applyBorder="1" applyAlignment="1">
      <alignment horizontal="left" vertical="center"/>
    </xf>
    <xf numFmtId="169" fontId="18" fillId="0" borderId="7" xfId="0" applyNumberFormat="1" applyFont="1" applyBorder="1" applyAlignment="1">
      <alignment horizontal="left" vertical="center"/>
    </xf>
    <xf numFmtId="169" fontId="18" fillId="0" borderId="8" xfId="0" applyNumberFormat="1" applyFont="1" applyBorder="1" applyAlignment="1">
      <alignment horizontal="left" vertical="center"/>
    </xf>
    <xf numFmtId="169" fontId="18" fillId="0" borderId="9" xfId="0" applyNumberFormat="1" applyFont="1" applyBorder="1" applyAlignment="1">
      <alignment horizontal="left" vertical="center"/>
    </xf>
    <xf numFmtId="0" fontId="23" fillId="2" borderId="0" xfId="0" applyFont="1" applyFill="1" applyAlignment="1">
      <alignment horizontal="center"/>
    </xf>
    <xf numFmtId="169" fontId="33" fillId="0" borderId="18" xfId="0" applyNumberFormat="1" applyFont="1" applyBorder="1" applyAlignment="1">
      <alignment horizontal="left" vertical="center"/>
    </xf>
    <xf numFmtId="169" fontId="33" fillId="0" borderId="35" xfId="0" applyNumberFormat="1" applyFont="1" applyBorder="1" applyAlignment="1">
      <alignment horizontal="left" vertical="center"/>
    </xf>
    <xf numFmtId="0" fontId="21" fillId="5" borderId="75" xfId="0" applyFont="1" applyFill="1" applyBorder="1" applyAlignment="1">
      <alignment vertical="center"/>
    </xf>
    <xf numFmtId="169" fontId="18" fillId="0" borderId="83" xfId="0" applyNumberFormat="1" applyFont="1" applyBorder="1" applyAlignment="1">
      <alignment horizontal="center" vertical="center"/>
    </xf>
    <xf numFmtId="0" fontId="10" fillId="5" borderId="75" xfId="0" applyFont="1" applyFill="1" applyBorder="1" applyAlignment="1">
      <alignment vertical="center"/>
    </xf>
    <xf numFmtId="169" fontId="33" fillId="0" borderId="83" xfId="0" applyNumberFormat="1" applyFont="1" applyBorder="1" applyAlignment="1">
      <alignment horizontal="center" vertical="center"/>
    </xf>
    <xf numFmtId="174" fontId="18" fillId="7" borderId="39" xfId="3" applyNumberFormat="1" applyFont="1" applyFill="1" applyBorder="1" applyAlignment="1">
      <alignment horizontal="center" vertical="center"/>
    </xf>
    <xf numFmtId="169" fontId="14" fillId="0" borderId="34" xfId="0" applyNumberFormat="1" applyFont="1" applyBorder="1" applyAlignment="1">
      <alignment horizontal="center" vertical="center"/>
    </xf>
    <xf numFmtId="169" fontId="14" fillId="0" borderId="18" xfId="0" applyNumberFormat="1" applyFont="1" applyBorder="1" applyAlignment="1">
      <alignment horizontal="center" vertical="center"/>
    </xf>
    <xf numFmtId="169" fontId="14" fillId="0" borderId="35" xfId="0" applyNumberFormat="1" applyFont="1" applyBorder="1" applyAlignment="1">
      <alignment horizontal="center" vertical="center"/>
    </xf>
    <xf numFmtId="174" fontId="18" fillId="7" borderId="5" xfId="3" applyNumberFormat="1" applyFont="1" applyFill="1" applyBorder="1" applyAlignment="1">
      <alignment horizontal="center" vertical="center"/>
    </xf>
    <xf numFmtId="169" fontId="14" fillId="0" borderId="7" xfId="0" applyNumberFormat="1" applyFont="1" applyBorder="1" applyAlignment="1">
      <alignment horizontal="center" vertical="center"/>
    </xf>
    <xf numFmtId="169" fontId="14" fillId="0" borderId="8" xfId="0" applyNumberFormat="1" applyFont="1" applyBorder="1" applyAlignment="1">
      <alignment horizontal="center" vertical="center"/>
    </xf>
    <xf numFmtId="169" fontId="14" fillId="0" borderId="9" xfId="0" applyNumberFormat="1" applyFont="1" applyBorder="1" applyAlignment="1">
      <alignment horizontal="center" vertical="center"/>
    </xf>
    <xf numFmtId="179" fontId="14" fillId="0" borderId="5" xfId="1" applyNumberFormat="1" applyFont="1" applyBorder="1" applyAlignment="1" applyProtection="1">
      <alignment horizontal="center" vertical="center"/>
    </xf>
    <xf numFmtId="0" fontId="23" fillId="0" borderId="0" xfId="0" applyFont="1" applyAlignment="1">
      <alignment horizontal="center" vertical="center"/>
    </xf>
    <xf numFmtId="0" fontId="14" fillId="0" borderId="19"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67" xfId="0" applyFont="1" applyBorder="1" applyAlignment="1">
      <alignment horizontal="center" vertical="center" wrapText="1"/>
    </xf>
    <xf numFmtId="0" fontId="14" fillId="0" borderId="16" xfId="0" applyFont="1" applyBorder="1" applyAlignment="1">
      <alignment horizontal="center" vertical="center" wrapText="1"/>
    </xf>
    <xf numFmtId="169" fontId="14" fillId="0" borderId="19" xfId="0" applyNumberFormat="1" applyFont="1" applyBorder="1" applyAlignment="1">
      <alignment horizontal="center" vertical="center" wrapText="1"/>
    </xf>
    <xf numFmtId="169" fontId="14" fillId="0" borderId="67" xfId="0" applyNumberFormat="1" applyFont="1" applyBorder="1" applyAlignment="1">
      <alignment horizontal="center" vertical="center" wrapText="1"/>
    </xf>
    <xf numFmtId="169" fontId="14" fillId="0" borderId="41" xfId="0" applyNumberFormat="1" applyFont="1" applyBorder="1" applyAlignment="1">
      <alignment horizontal="center" vertical="center" wrapText="1"/>
    </xf>
    <xf numFmtId="169" fontId="14" fillId="0" borderId="40" xfId="0" applyNumberFormat="1" applyFont="1" applyBorder="1" applyAlignment="1">
      <alignment horizontal="center" vertical="center" wrapText="1"/>
    </xf>
    <xf numFmtId="169" fontId="14" fillId="0" borderId="16" xfId="0" applyNumberFormat="1" applyFont="1" applyBorder="1" applyAlignment="1">
      <alignment horizontal="center" vertical="center" wrapText="1"/>
    </xf>
    <xf numFmtId="169" fontId="14" fillId="0" borderId="68" xfId="0" applyNumberFormat="1" applyFont="1" applyBorder="1" applyAlignment="1">
      <alignment horizontal="center" vertical="center" wrapText="1"/>
    </xf>
    <xf numFmtId="0" fontId="14" fillId="0" borderId="16" xfId="0" applyFont="1" applyBorder="1" applyAlignment="1">
      <alignment horizontal="center" vertical="center"/>
    </xf>
    <xf numFmtId="43" fontId="14" fillId="0" borderId="16" xfId="1" applyFont="1" applyBorder="1" applyAlignment="1" applyProtection="1">
      <alignment horizontal="center"/>
    </xf>
    <xf numFmtId="169" fontId="15" fillId="8" borderId="1" xfId="1" applyNumberFormat="1" applyFont="1" applyFill="1" applyBorder="1" applyAlignment="1" applyProtection="1">
      <alignment horizontal="center" vertical="center"/>
    </xf>
    <xf numFmtId="0" fontId="76" fillId="0" borderId="0" xfId="0" applyFont="1" applyAlignment="1">
      <alignment horizontal="center"/>
    </xf>
    <xf numFmtId="0" fontId="32" fillId="0" borderId="0" xfId="0" applyFont="1" applyAlignment="1">
      <alignment horizontal="center"/>
    </xf>
    <xf numFmtId="0" fontId="8" fillId="0" borderId="16" xfId="0" applyFont="1" applyBorder="1" applyAlignment="1">
      <alignment horizontal="center"/>
    </xf>
    <xf numFmtId="0" fontId="8" fillId="0" borderId="0" xfId="0" applyFont="1" applyAlignment="1">
      <alignment horizontal="center" wrapText="1"/>
    </xf>
    <xf numFmtId="0" fontId="8" fillId="0" borderId="0" xfId="0" applyFont="1" applyAlignment="1">
      <alignment horizontal="center"/>
    </xf>
    <xf numFmtId="0" fontId="19" fillId="0" borderId="0" xfId="0" applyFont="1" applyAlignment="1">
      <alignment horizontal="center"/>
    </xf>
    <xf numFmtId="0" fontId="58" fillId="0" borderId="1" xfId="0" applyFont="1" applyBorder="1" applyAlignment="1">
      <alignment horizontal="center"/>
    </xf>
    <xf numFmtId="0" fontId="70" fillId="0" borderId="1" xfId="0" applyFont="1" applyBorder="1" applyAlignment="1">
      <alignment horizontal="center"/>
    </xf>
    <xf numFmtId="7" fontId="25" fillId="0" borderId="14" xfId="5" applyNumberFormat="1" applyFont="1" applyFill="1" applyBorder="1" applyAlignment="1">
      <alignment horizontal="center"/>
    </xf>
    <xf numFmtId="7" fontId="25" fillId="0" borderId="17" xfId="5" applyNumberFormat="1" applyFont="1" applyFill="1" applyBorder="1" applyAlignment="1">
      <alignment horizontal="center"/>
    </xf>
    <xf numFmtId="7" fontId="25" fillId="0" borderId="23" xfId="5" applyNumberFormat="1" applyFont="1" applyFill="1" applyBorder="1" applyAlignment="1">
      <alignment horizontal="center"/>
    </xf>
    <xf numFmtId="0" fontId="57" fillId="0" borderId="0" xfId="0" applyFont="1" applyAlignment="1">
      <alignment horizontal="justify" vertical="center" wrapText="1"/>
    </xf>
    <xf numFmtId="0" fontId="58" fillId="0" borderId="16" xfId="0" applyFont="1" applyBorder="1" applyAlignment="1" applyProtection="1">
      <alignment horizontal="center" vertical="top" wrapText="1"/>
      <protection locked="0"/>
    </xf>
    <xf numFmtId="0" fontId="57" fillId="0" borderId="16" xfId="0" applyFont="1" applyBorder="1" applyAlignment="1" applyProtection="1">
      <alignment horizontal="center"/>
      <protection locked="0"/>
    </xf>
    <xf numFmtId="0" fontId="57" fillId="0" borderId="17" xfId="0" applyFont="1" applyBorder="1" applyAlignment="1" applyProtection="1">
      <alignment horizontal="center"/>
      <protection locked="0"/>
    </xf>
    <xf numFmtId="0" fontId="58" fillId="0" borderId="14" xfId="0" applyFont="1" applyBorder="1" applyAlignment="1">
      <alignment horizontal="center"/>
    </xf>
    <xf numFmtId="0" fontId="58" fillId="0" borderId="17" xfId="0" applyFont="1" applyBorder="1" applyAlignment="1">
      <alignment horizontal="center"/>
    </xf>
    <xf numFmtId="0" fontId="58" fillId="0" borderId="23" xfId="0" applyFont="1" applyBorder="1" applyAlignment="1">
      <alignment horizontal="center"/>
    </xf>
    <xf numFmtId="0" fontId="55" fillId="0" borderId="14" xfId="0" applyFont="1" applyBorder="1" applyAlignment="1">
      <alignment horizontal="center"/>
    </xf>
    <xf numFmtId="0" fontId="55" fillId="0" borderId="17" xfId="0" applyFont="1" applyBorder="1" applyAlignment="1">
      <alignment horizontal="center"/>
    </xf>
    <xf numFmtId="0" fontId="55" fillId="0" borderId="23" xfId="0" applyFont="1" applyBorder="1" applyAlignment="1">
      <alignment horizontal="center"/>
    </xf>
    <xf numFmtId="0" fontId="26" fillId="0" borderId="40" xfId="0" applyFont="1" applyBorder="1" applyAlignment="1">
      <alignment horizontal="center"/>
    </xf>
    <xf numFmtId="0" fontId="26" fillId="0" borderId="16" xfId="0" applyFont="1" applyBorder="1" applyAlignment="1">
      <alignment horizontal="center"/>
    </xf>
    <xf numFmtId="0" fontId="26" fillId="0" borderId="68" xfId="0" applyFont="1" applyBorder="1" applyAlignment="1">
      <alignment horizontal="center"/>
    </xf>
    <xf numFmtId="0" fontId="26" fillId="0" borderId="19" xfId="0" applyFont="1" applyBorder="1" applyAlignment="1">
      <alignment horizontal="center"/>
    </xf>
    <xf numFmtId="0" fontId="26" fillId="0" borderId="41" xfId="0" applyFont="1" applyBorder="1" applyAlignment="1">
      <alignment horizontal="center"/>
    </xf>
    <xf numFmtId="2" fontId="55" fillId="0" borderId="14" xfId="0" applyNumberFormat="1" applyFont="1" applyBorder="1" applyAlignment="1">
      <alignment horizontal="center"/>
    </xf>
    <xf numFmtId="2" fontId="55" fillId="0" borderId="17" xfId="0" applyNumberFormat="1" applyFont="1" applyBorder="1" applyAlignment="1">
      <alignment horizontal="center"/>
    </xf>
    <xf numFmtId="2" fontId="55" fillId="0" borderId="23" xfId="0" applyNumberFormat="1" applyFont="1" applyBorder="1" applyAlignment="1">
      <alignment horizontal="center"/>
    </xf>
    <xf numFmtId="2" fontId="26" fillId="0" borderId="40" xfId="0" applyNumberFormat="1" applyFont="1" applyBorder="1" applyAlignment="1">
      <alignment horizontal="center"/>
    </xf>
    <xf numFmtId="0" fontId="55" fillId="5" borderId="19" xfId="0" applyFont="1" applyFill="1" applyBorder="1" applyAlignment="1">
      <alignment horizontal="left" vertical="center" wrapText="1"/>
    </xf>
    <xf numFmtId="0" fontId="55" fillId="5" borderId="41" xfId="0" applyFont="1" applyFill="1" applyBorder="1" applyAlignment="1">
      <alignment horizontal="left" vertical="center" wrapText="1"/>
    </xf>
    <xf numFmtId="0" fontId="55" fillId="5" borderId="40" xfId="0" applyFont="1" applyFill="1" applyBorder="1" applyAlignment="1">
      <alignment horizontal="left" vertical="center" wrapText="1"/>
    </xf>
    <xf numFmtId="0" fontId="55" fillId="5" borderId="68" xfId="0" applyFont="1" applyFill="1" applyBorder="1" applyAlignment="1">
      <alignment horizontal="left" vertical="center" wrapText="1"/>
    </xf>
    <xf numFmtId="0" fontId="55" fillId="0" borderId="19" xfId="0" applyFont="1" applyBorder="1" applyAlignment="1">
      <alignment horizontal="center" vertical="center" wrapText="1"/>
    </xf>
    <xf numFmtId="0" fontId="55" fillId="0" borderId="41" xfId="0" applyFont="1" applyBorder="1" applyAlignment="1">
      <alignment horizontal="center" vertical="center" wrapText="1"/>
    </xf>
    <xf numFmtId="0" fontId="55" fillId="0" borderId="40" xfId="0" applyFont="1" applyBorder="1" applyAlignment="1">
      <alignment horizontal="center" vertical="center" wrapText="1"/>
    </xf>
    <xf numFmtId="0" fontId="55" fillId="0" borderId="68" xfId="0" applyFont="1" applyBorder="1" applyAlignment="1">
      <alignment horizontal="center" vertical="center" wrapText="1"/>
    </xf>
    <xf numFmtId="3" fontId="55" fillId="0" borderId="14" xfId="0" applyNumberFormat="1" applyFont="1" applyBorder="1" applyAlignment="1">
      <alignment horizontal="center"/>
    </xf>
    <xf numFmtId="0" fontId="26" fillId="0" borderId="14" xfId="0" applyFont="1" applyBorder="1" applyAlignment="1">
      <alignment horizontal="center"/>
    </xf>
    <xf numFmtId="0" fontId="26" fillId="0" borderId="23" xfId="0" applyFont="1" applyBorder="1" applyAlignment="1">
      <alignment horizontal="center"/>
    </xf>
    <xf numFmtId="0" fontId="20" fillId="0" borderId="16" xfId="0" applyFont="1" applyBorder="1" applyAlignment="1">
      <alignment horizontal="center"/>
    </xf>
    <xf numFmtId="0" fontId="8" fillId="0" borderId="17" xfId="0" applyFont="1" applyBorder="1" applyAlignment="1">
      <alignment horizontal="center"/>
    </xf>
    <xf numFmtId="3" fontId="20" fillId="0" borderId="16" xfId="0" applyNumberFormat="1" applyFont="1" applyBorder="1" applyAlignment="1">
      <alignment horizontal="center"/>
    </xf>
    <xf numFmtId="0" fontId="55" fillId="5" borderId="14" xfId="0" applyFont="1" applyFill="1" applyBorder="1" applyAlignment="1">
      <alignment horizontal="center"/>
    </xf>
    <xf numFmtId="0" fontId="55" fillId="5" borderId="17" xfId="0" applyFont="1" applyFill="1" applyBorder="1" applyAlignment="1">
      <alignment horizontal="center"/>
    </xf>
    <xf numFmtId="0" fontId="55" fillId="5" borderId="23" xfId="0" applyFont="1" applyFill="1" applyBorder="1" applyAlignment="1">
      <alignment horizontal="center"/>
    </xf>
    <xf numFmtId="0" fontId="20" fillId="0" borderId="79" xfId="0" applyFont="1" applyBorder="1" applyAlignment="1">
      <alignment horizontal="center"/>
    </xf>
    <xf numFmtId="0" fontId="8" fillId="0" borderId="0" xfId="0" applyFont="1" applyAlignment="1">
      <alignment horizontal="justify" wrapText="1"/>
    </xf>
    <xf numFmtId="0" fontId="8" fillId="0" borderId="0" xfId="0" applyFont="1" applyAlignment="1">
      <alignment horizontal="left"/>
    </xf>
    <xf numFmtId="0" fontId="1" fillId="0" borderId="1" xfId="0" applyFont="1" applyBorder="1" applyAlignment="1">
      <alignment horizontal="center" vertical="center"/>
    </xf>
    <xf numFmtId="169" fontId="18" fillId="0" borderId="1" xfId="0" applyNumberFormat="1" applyFont="1" applyBorder="1" applyAlignment="1" applyProtection="1">
      <alignment horizontal="center" vertical="center"/>
      <protection locked="0"/>
    </xf>
    <xf numFmtId="0" fontId="10" fillId="5" borderId="0" xfId="0" applyFont="1" applyFill="1" applyAlignment="1">
      <alignment horizontal="center" vertical="center"/>
    </xf>
    <xf numFmtId="3" fontId="26" fillId="0" borderId="40" xfId="0" applyNumberFormat="1" applyFont="1" applyBorder="1" applyAlignment="1">
      <alignment horizontal="center"/>
    </xf>
    <xf numFmtId="0" fontId="21" fillId="5" borderId="6" xfId="0" applyFont="1" applyFill="1" applyBorder="1" applyAlignment="1">
      <alignment horizontal="left" vertical="center"/>
    </xf>
    <xf numFmtId="0" fontId="21" fillId="5" borderId="70" xfId="0" applyFont="1" applyFill="1" applyBorder="1" applyAlignment="1">
      <alignment horizontal="left" vertical="center"/>
    </xf>
    <xf numFmtId="169" fontId="20" fillId="0" borderId="19" xfId="0" applyNumberFormat="1" applyFont="1" applyBorder="1" applyAlignment="1">
      <alignment horizontal="center" vertical="center" wrapText="1"/>
    </xf>
    <xf numFmtId="169" fontId="20" fillId="0" borderId="41" xfId="0" applyNumberFormat="1" applyFont="1" applyBorder="1" applyAlignment="1">
      <alignment horizontal="center" vertical="center" wrapText="1"/>
    </xf>
    <xf numFmtId="169" fontId="20" fillId="0" borderId="40" xfId="0" applyNumberFormat="1" applyFont="1" applyBorder="1" applyAlignment="1">
      <alignment horizontal="center" vertical="center" wrapText="1"/>
    </xf>
    <xf numFmtId="169" fontId="20" fillId="0" borderId="68" xfId="0" applyNumberFormat="1" applyFont="1" applyBorder="1" applyAlignment="1">
      <alignment horizontal="center" vertical="center" wrapText="1"/>
    </xf>
    <xf numFmtId="169" fontId="33" fillId="0" borderId="17" xfId="0" applyNumberFormat="1" applyFont="1" applyBorder="1" applyAlignment="1">
      <alignment horizontal="left" vertical="center"/>
    </xf>
    <xf numFmtId="169" fontId="33" fillId="0" borderId="23" xfId="0" applyNumberFormat="1" applyFont="1" applyBorder="1" applyAlignment="1">
      <alignment horizontal="left" vertical="center"/>
    </xf>
    <xf numFmtId="0" fontId="10" fillId="5" borderId="3" xfId="0" applyFont="1" applyFill="1" applyBorder="1" applyAlignment="1">
      <alignment horizontal="left" vertical="center"/>
    </xf>
    <xf numFmtId="169" fontId="14" fillId="0" borderId="0" xfId="0" applyNumberFormat="1" applyFont="1" applyAlignment="1">
      <alignment horizontal="center" vertical="center"/>
    </xf>
    <xf numFmtId="169" fontId="33" fillId="0" borderId="36" xfId="0" applyNumberFormat="1" applyFont="1" applyBorder="1" applyAlignment="1">
      <alignment horizontal="left" vertical="center"/>
    </xf>
    <xf numFmtId="169" fontId="33" fillId="0" borderId="27" xfId="0" applyNumberFormat="1" applyFont="1" applyBorder="1" applyAlignment="1">
      <alignment horizontal="left" vertical="center"/>
    </xf>
    <xf numFmtId="169" fontId="33" fillId="0" borderId="72" xfId="0" applyNumberFormat="1" applyFont="1" applyBorder="1" applyAlignment="1">
      <alignment horizontal="left" vertical="center"/>
    </xf>
    <xf numFmtId="169" fontId="33" fillId="0" borderId="14" xfId="0" applyNumberFormat="1" applyFont="1" applyBorder="1" applyAlignment="1">
      <alignment horizontal="left" vertical="center"/>
    </xf>
    <xf numFmtId="43" fontId="15" fillId="0" borderId="0" xfId="1" applyFont="1" applyBorder="1" applyAlignment="1" applyProtection="1">
      <alignment horizontal="center" vertical="center"/>
    </xf>
    <xf numFmtId="0" fontId="15" fillId="9" borderId="14" xfId="0" applyFont="1" applyFill="1" applyBorder="1" applyAlignment="1">
      <alignment horizontal="center" vertical="center"/>
    </xf>
    <xf numFmtId="0" fontId="15" fillId="9" borderId="23" xfId="0" applyFont="1" applyFill="1" applyBorder="1" applyAlignment="1">
      <alignment horizontal="center" vertical="center"/>
    </xf>
    <xf numFmtId="169" fontId="18" fillId="0" borderId="26" xfId="0" applyNumberFormat="1" applyFont="1" applyBorder="1" applyAlignment="1">
      <alignment horizontal="left" vertical="center"/>
    </xf>
    <xf numFmtId="169" fontId="18" fillId="0" borderId="17" xfId="0" applyNumberFormat="1" applyFont="1" applyBorder="1" applyAlignment="1">
      <alignment horizontal="left" vertical="center"/>
    </xf>
    <xf numFmtId="169" fontId="18" fillId="0" borderId="23" xfId="0" applyNumberFormat="1" applyFont="1" applyBorder="1" applyAlignment="1">
      <alignment horizontal="left" vertical="center"/>
    </xf>
    <xf numFmtId="0" fontId="7" fillId="5" borderId="1" xfId="0" applyFont="1" applyFill="1" applyBorder="1" applyAlignment="1">
      <alignment horizontal="center" vertical="center"/>
    </xf>
    <xf numFmtId="169" fontId="15" fillId="9" borderId="1" xfId="0" applyNumberFormat="1" applyFont="1" applyFill="1" applyBorder="1" applyAlignment="1">
      <alignment horizontal="center" vertical="center"/>
    </xf>
    <xf numFmtId="167" fontId="14" fillId="0" borderId="8" xfId="0" applyNumberFormat="1" applyFont="1" applyBorder="1" applyAlignment="1">
      <alignment horizontal="center"/>
    </xf>
    <xf numFmtId="167" fontId="14" fillId="0" borderId="9" xfId="0" applyNumberFormat="1" applyFont="1" applyBorder="1" applyAlignment="1">
      <alignment horizontal="center"/>
    </xf>
    <xf numFmtId="0" fontId="14" fillId="0" borderId="29" xfId="0" applyFont="1" applyBorder="1" applyAlignment="1">
      <alignment horizontal="center" vertical="center"/>
    </xf>
    <xf numFmtId="0" fontId="18" fillId="0" borderId="18" xfId="0" applyFont="1" applyBorder="1" applyAlignment="1">
      <alignment horizontal="center" vertical="center"/>
    </xf>
    <xf numFmtId="169" fontId="18" fillId="0" borderId="14" xfId="0" applyNumberFormat="1" applyFont="1" applyBorder="1" applyAlignment="1">
      <alignment horizontal="left" vertical="center"/>
    </xf>
    <xf numFmtId="169" fontId="14" fillId="0" borderId="1" xfId="0" applyNumberFormat="1" applyFont="1" applyBorder="1" applyAlignment="1">
      <alignment horizontal="left" vertical="center"/>
    </xf>
    <xf numFmtId="169" fontId="18" fillId="0" borderId="1" xfId="0" applyNumberFormat="1" applyFont="1" applyBorder="1" applyAlignment="1">
      <alignment horizontal="left" vertical="center"/>
    </xf>
    <xf numFmtId="170" fontId="10" fillId="5" borderId="1" xfId="0" applyNumberFormat="1" applyFont="1" applyFill="1" applyBorder="1" applyAlignment="1">
      <alignment horizontal="center" vertical="center"/>
    </xf>
    <xf numFmtId="169" fontId="33" fillId="0" borderId="26" xfId="0" applyNumberFormat="1" applyFont="1" applyBorder="1" applyAlignment="1">
      <alignment horizontal="left" vertical="center"/>
    </xf>
    <xf numFmtId="7" fontId="26" fillId="0" borderId="14" xfId="5" applyNumberFormat="1" applyFont="1" applyBorder="1" applyAlignment="1">
      <alignment horizontal="center"/>
    </xf>
    <xf numFmtId="7" fontId="26" fillId="0" borderId="17" xfId="5" applyNumberFormat="1" applyFont="1" applyBorder="1" applyAlignment="1">
      <alignment horizontal="center"/>
    </xf>
    <xf numFmtId="7" fontId="26" fillId="0" borderId="23" xfId="5" applyNumberFormat="1" applyFont="1" applyBorder="1" applyAlignment="1">
      <alignment horizontal="center"/>
    </xf>
    <xf numFmtId="7" fontId="25" fillId="0" borderId="14" xfId="5" applyNumberFormat="1" applyFont="1" applyBorder="1" applyAlignment="1">
      <alignment horizontal="center"/>
    </xf>
    <xf numFmtId="7" fontId="25" fillId="0" borderId="17" xfId="5" applyNumberFormat="1" applyFont="1" applyBorder="1" applyAlignment="1">
      <alignment horizontal="center"/>
    </xf>
    <xf numFmtId="7" fontId="25" fillId="0" borderId="23" xfId="5" applyNumberFormat="1" applyFont="1" applyBorder="1" applyAlignment="1">
      <alignment horizontal="center"/>
    </xf>
    <xf numFmtId="169" fontId="33" fillId="0" borderId="119" xfId="0" applyNumberFormat="1" applyFont="1" applyBorder="1" applyAlignment="1">
      <alignment horizontal="left" vertical="center"/>
    </xf>
    <xf numFmtId="0" fontId="30" fillId="2" borderId="0" xfId="0" applyFont="1" applyFill="1" applyAlignment="1">
      <alignment horizontal="center"/>
    </xf>
    <xf numFmtId="0" fontId="52" fillId="0" borderId="0" xfId="0" applyFont="1" applyAlignment="1">
      <alignment horizontal="center"/>
    </xf>
    <xf numFmtId="169" fontId="18" fillId="0" borderId="20" xfId="0" applyNumberFormat="1" applyFont="1" applyBorder="1" applyAlignment="1">
      <alignment horizontal="left" vertical="center"/>
    </xf>
    <xf numFmtId="169" fontId="33" fillId="0" borderId="20" xfId="0" applyNumberFormat="1" applyFont="1" applyBorder="1" applyAlignment="1">
      <alignment horizontal="left" vertical="center"/>
    </xf>
    <xf numFmtId="169" fontId="15" fillId="0" borderId="0" xfId="0" applyNumberFormat="1" applyFont="1" applyAlignment="1">
      <alignment horizontal="center" vertical="center"/>
    </xf>
    <xf numFmtId="169" fontId="18" fillId="0" borderId="119" xfId="0" applyNumberFormat="1" applyFont="1" applyBorder="1" applyAlignment="1">
      <alignment horizontal="left" vertical="center"/>
    </xf>
    <xf numFmtId="0" fontId="14" fillId="0" borderId="20" xfId="0" applyFont="1" applyBorder="1" applyAlignment="1">
      <alignment horizontal="center" vertical="center"/>
    </xf>
    <xf numFmtId="0" fontId="14" fillId="0" borderId="31" xfId="0" applyFont="1" applyBorder="1" applyAlignment="1">
      <alignment horizontal="center" vertical="center"/>
    </xf>
    <xf numFmtId="0" fontId="14" fillId="0" borderId="30" xfId="0" applyFont="1" applyBorder="1" applyAlignment="1">
      <alignment horizontal="center" vertical="center"/>
    </xf>
    <xf numFmtId="0" fontId="14" fillId="0" borderId="32" xfId="0" applyFont="1" applyBorder="1" applyAlignment="1">
      <alignment horizontal="center" vertical="center"/>
    </xf>
    <xf numFmtId="0" fontId="28" fillId="0" borderId="0" xfId="0" applyFont="1" applyAlignment="1">
      <alignment horizontal="center" vertical="center"/>
    </xf>
    <xf numFmtId="0" fontId="14" fillId="0" borderId="25" xfId="0" applyFont="1" applyBorder="1" applyAlignment="1">
      <alignment horizontal="center" vertical="center"/>
    </xf>
    <xf numFmtId="0" fontId="14" fillId="0" borderId="21" xfId="0" applyFont="1" applyBorder="1" applyAlignment="1">
      <alignment horizontal="center" vertical="center"/>
    </xf>
    <xf numFmtId="167" fontId="14" fillId="0" borderId="7" xfId="0" applyNumberFormat="1" applyFont="1" applyBorder="1" applyAlignment="1">
      <alignment horizontal="center"/>
    </xf>
    <xf numFmtId="0" fontId="14" fillId="0" borderId="0" xfId="0" applyFont="1" applyAlignment="1">
      <alignment horizontal="center"/>
    </xf>
    <xf numFmtId="0" fontId="14" fillId="0" borderId="16" xfId="0" applyFont="1" applyBorder="1" applyAlignment="1">
      <alignment horizontal="center"/>
    </xf>
    <xf numFmtId="0" fontId="0" fillId="0" borderId="16" xfId="0" applyBorder="1" applyAlignment="1" applyProtection="1">
      <alignment horizontal="center"/>
      <protection locked="0"/>
    </xf>
    <xf numFmtId="0" fontId="14" fillId="0" borderId="17" xfId="0" applyFont="1" applyBorder="1" applyAlignment="1">
      <alignment horizontal="center"/>
    </xf>
    <xf numFmtId="7" fontId="26" fillId="0" borderId="14" xfId="5" applyNumberFormat="1" applyFont="1" applyFill="1" applyBorder="1" applyAlignment="1">
      <alignment horizontal="center"/>
    </xf>
    <xf numFmtId="7" fontId="26" fillId="0" borderId="17" xfId="5" applyNumberFormat="1" applyFont="1" applyFill="1" applyBorder="1" applyAlignment="1">
      <alignment horizontal="center"/>
    </xf>
    <xf numFmtId="7" fontId="26" fillId="0" borderId="23" xfId="5" applyNumberFormat="1" applyFont="1" applyFill="1" applyBorder="1" applyAlignment="1">
      <alignment horizontal="center"/>
    </xf>
    <xf numFmtId="0" fontId="20" fillId="0" borderId="19" xfId="0" applyFont="1" applyBorder="1" applyAlignment="1">
      <alignment horizontal="center" vertical="center" wrapText="1"/>
    </xf>
    <xf numFmtId="0" fontId="20" fillId="0" borderId="41" xfId="0" applyFont="1" applyBorder="1" applyAlignment="1">
      <alignment horizontal="center" vertical="center" wrapText="1"/>
    </xf>
    <xf numFmtId="0" fontId="20" fillId="0" borderId="40" xfId="0" applyFont="1" applyBorder="1" applyAlignment="1">
      <alignment horizontal="center" vertical="center" wrapText="1"/>
    </xf>
    <xf numFmtId="0" fontId="20" fillId="0" borderId="68" xfId="0" applyFont="1" applyBorder="1" applyAlignment="1">
      <alignment horizontal="center" vertical="center" wrapText="1"/>
    </xf>
    <xf numFmtId="0" fontId="20" fillId="0" borderId="67" xfId="0" applyFont="1" applyBorder="1" applyAlignment="1">
      <alignment horizontal="center" vertical="center" wrapText="1"/>
    </xf>
    <xf numFmtId="0" fontId="20" fillId="0" borderId="16" xfId="0" applyFont="1" applyBorder="1" applyAlignment="1">
      <alignment horizontal="center" vertical="center" wrapText="1"/>
    </xf>
    <xf numFmtId="167" fontId="14" fillId="0" borderId="17" xfId="0" applyNumberFormat="1" applyFont="1" applyBorder="1" applyAlignment="1">
      <alignment horizontal="left" vertical="center"/>
    </xf>
    <xf numFmtId="0" fontId="10" fillId="5" borderId="75" xfId="0" applyFont="1" applyFill="1" applyBorder="1" applyAlignment="1">
      <alignment horizontal="left" vertical="center"/>
    </xf>
    <xf numFmtId="167" fontId="32" fillId="0" borderId="17" xfId="0" applyNumberFormat="1" applyFont="1" applyBorder="1" applyAlignment="1">
      <alignment horizontal="left" vertical="center"/>
    </xf>
    <xf numFmtId="0" fontId="32" fillId="0" borderId="17" xfId="0" applyFont="1" applyBorder="1" applyAlignment="1">
      <alignment horizontal="left" vertical="center"/>
    </xf>
    <xf numFmtId="43" fontId="38" fillId="0" borderId="16" xfId="1" applyFont="1" applyBorder="1" applyAlignment="1" applyProtection="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0" fontId="8" fillId="0" borderId="34" xfId="0" applyFont="1" applyBorder="1" applyAlignment="1">
      <alignment horizontal="center" vertical="center"/>
    </xf>
    <xf numFmtId="0" fontId="8" fillId="0" borderId="18" xfId="0" applyFont="1" applyBorder="1" applyAlignment="1">
      <alignment horizontal="center" vertical="center"/>
    </xf>
    <xf numFmtId="0" fontId="8" fillId="0" borderId="35" xfId="0" applyFont="1" applyBorder="1" applyAlignment="1">
      <alignment horizontal="center" vertical="center"/>
    </xf>
    <xf numFmtId="0" fontId="18" fillId="0" borderId="0" xfId="0" applyFont="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2" fontId="8" fillId="0" borderId="7" xfId="0" applyNumberFormat="1" applyFont="1" applyBorder="1" applyAlignment="1">
      <alignment horizontal="right" vertical="center"/>
    </xf>
    <xf numFmtId="0" fontId="8" fillId="0" borderId="20" xfId="0" applyFont="1" applyBorder="1" applyAlignment="1">
      <alignment horizontal="right" vertical="center"/>
    </xf>
    <xf numFmtId="167" fontId="8" fillId="0" borderId="77" xfId="0" applyNumberFormat="1" applyFont="1" applyBorder="1" applyAlignment="1">
      <alignment horizontal="center"/>
    </xf>
    <xf numFmtId="0" fontId="8" fillId="0" borderId="31" xfId="0" applyFont="1" applyBorder="1" applyAlignment="1">
      <alignment horizontal="center" vertical="center"/>
    </xf>
    <xf numFmtId="0" fontId="8" fillId="0" borderId="30" xfId="0" applyFont="1" applyBorder="1" applyAlignment="1">
      <alignment horizontal="center" vertical="center"/>
    </xf>
    <xf numFmtId="0" fontId="8" fillId="0" borderId="32" xfId="0" applyFont="1" applyBorder="1" applyAlignment="1">
      <alignment horizontal="center" vertical="center"/>
    </xf>
    <xf numFmtId="169" fontId="18" fillId="0" borderId="8" xfId="1" applyNumberFormat="1" applyFont="1" applyBorder="1" applyAlignment="1" applyProtection="1">
      <alignment horizontal="left" vertical="center"/>
    </xf>
    <xf numFmtId="169" fontId="18" fillId="0" borderId="20" xfId="1" applyNumberFormat="1" applyFont="1" applyBorder="1" applyAlignment="1" applyProtection="1">
      <alignment horizontal="left" vertical="center"/>
    </xf>
    <xf numFmtId="169" fontId="33" fillId="0" borderId="20" xfId="1" applyNumberFormat="1" applyFont="1" applyBorder="1" applyAlignment="1" applyProtection="1">
      <alignment horizontal="left" vertical="center"/>
    </xf>
    <xf numFmtId="2" fontId="8" fillId="0" borderId="14" xfId="0" applyNumberFormat="1" applyFont="1" applyBorder="1" applyAlignment="1">
      <alignment horizontal="center" vertical="center"/>
    </xf>
    <xf numFmtId="0" fontId="8" fillId="0" borderId="17" xfId="0" applyFont="1" applyBorder="1" applyAlignment="1">
      <alignment horizontal="center" vertical="center"/>
    </xf>
    <xf numFmtId="169" fontId="21" fillId="0" borderId="8" xfId="0" applyNumberFormat="1" applyFont="1" applyBorder="1" applyAlignment="1">
      <alignment horizontal="center" vertical="center"/>
    </xf>
    <xf numFmtId="172" fontId="38" fillId="0" borderId="0" xfId="0" applyNumberFormat="1" applyFont="1" applyAlignment="1">
      <alignment horizontal="center" vertical="center"/>
    </xf>
    <xf numFmtId="169" fontId="33" fillId="0" borderId="7" xfId="1" applyNumberFormat="1" applyFont="1" applyBorder="1" applyAlignment="1" applyProtection="1">
      <alignment horizontal="left" vertical="center"/>
    </xf>
    <xf numFmtId="0" fontId="10" fillId="5" borderId="67" xfId="0" applyFont="1" applyFill="1" applyBorder="1" applyAlignment="1">
      <alignment horizontal="center" vertical="center"/>
    </xf>
    <xf numFmtId="0" fontId="10" fillId="5" borderId="16" xfId="0" applyFont="1" applyFill="1" applyBorder="1" applyAlignment="1">
      <alignment horizontal="center" vertical="center"/>
    </xf>
    <xf numFmtId="172" fontId="8" fillId="0" borderId="14" xfId="0" applyNumberFormat="1" applyFont="1" applyBorder="1" applyAlignment="1">
      <alignment horizontal="center" vertical="center"/>
    </xf>
    <xf numFmtId="172" fontId="8" fillId="0" borderId="17" xfId="0" applyNumberFormat="1" applyFont="1" applyBorder="1" applyAlignment="1">
      <alignment horizontal="center" vertical="center"/>
    </xf>
    <xf numFmtId="172" fontId="8" fillId="0" borderId="23" xfId="0" applyNumberFormat="1" applyFont="1" applyBorder="1" applyAlignment="1">
      <alignment horizontal="center" vertical="center"/>
    </xf>
    <xf numFmtId="0" fontId="8" fillId="0" borderId="1" xfId="0" applyFont="1" applyBorder="1" applyAlignment="1">
      <alignment horizontal="center" vertical="center"/>
    </xf>
    <xf numFmtId="169" fontId="8" fillId="0" borderId="1" xfId="0" applyNumberFormat="1" applyFont="1" applyBorder="1" applyAlignment="1">
      <alignment horizontal="center" vertical="center"/>
    </xf>
    <xf numFmtId="169" fontId="18" fillId="0" borderId="7" xfId="1" applyNumberFormat="1" applyFont="1" applyBorder="1" applyAlignment="1" applyProtection="1">
      <alignment horizontal="left" vertical="center"/>
    </xf>
    <xf numFmtId="169" fontId="18" fillId="0" borderId="9" xfId="1" applyNumberFormat="1" applyFont="1" applyBorder="1" applyAlignment="1" applyProtection="1">
      <alignment horizontal="left" vertical="center"/>
    </xf>
    <xf numFmtId="0" fontId="38" fillId="0" borderId="0" xfId="0" applyFont="1" applyAlignment="1">
      <alignment horizontal="center" vertical="center"/>
    </xf>
    <xf numFmtId="169" fontId="16" fillId="0" borderId="0" xfId="0" applyNumberFormat="1" applyFont="1" applyAlignment="1">
      <alignment horizontal="center" vertical="center"/>
    </xf>
    <xf numFmtId="43" fontId="38" fillId="0" borderId="0" xfId="1" applyFont="1" applyAlignment="1" applyProtection="1">
      <alignment horizontal="center"/>
    </xf>
    <xf numFmtId="169" fontId="18" fillId="0" borderId="31" xfId="0" applyNumberFormat="1" applyFont="1" applyBorder="1" applyAlignment="1">
      <alignment horizontal="left" vertical="center"/>
    </xf>
    <xf numFmtId="169" fontId="18" fillId="0" borderId="30" xfId="0" applyNumberFormat="1" applyFont="1" applyBorder="1" applyAlignment="1">
      <alignment horizontal="left" vertical="center"/>
    </xf>
    <xf numFmtId="169" fontId="18" fillId="0" borderId="32" xfId="0" applyNumberFormat="1" applyFont="1" applyBorder="1" applyAlignment="1">
      <alignment horizontal="left" vertical="center"/>
    </xf>
    <xf numFmtId="169" fontId="18" fillId="0" borderId="37" xfId="0" applyNumberFormat="1" applyFont="1" applyBorder="1" applyAlignment="1">
      <alignment horizontal="left" vertical="center"/>
    </xf>
    <xf numFmtId="169" fontId="18" fillId="0" borderId="16" xfId="0" applyNumberFormat="1" applyFont="1" applyBorder="1" applyAlignment="1">
      <alignment horizontal="left" vertical="center"/>
    </xf>
    <xf numFmtId="169" fontId="18" fillId="0" borderId="38" xfId="0" applyNumberFormat="1" applyFont="1" applyBorder="1" applyAlignment="1">
      <alignment horizontal="left" vertical="center"/>
    </xf>
    <xf numFmtId="0" fontId="26" fillId="0" borderId="17" xfId="0" applyFont="1" applyBorder="1" applyAlignment="1">
      <alignment horizontal="center"/>
    </xf>
    <xf numFmtId="0" fontId="18" fillId="0" borderId="19"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68" xfId="0" applyFont="1" applyBorder="1" applyAlignment="1">
      <alignment horizontal="center" vertical="center" wrapText="1"/>
    </xf>
    <xf numFmtId="0" fontId="18" fillId="0" borderId="67" xfId="0" applyFont="1" applyBorder="1" applyAlignment="1">
      <alignment horizontal="center" vertical="center" wrapText="1"/>
    </xf>
    <xf numFmtId="0" fontId="18" fillId="0" borderId="16" xfId="0" applyFont="1" applyBorder="1" applyAlignment="1">
      <alignment horizontal="center" vertical="center" wrapText="1"/>
    </xf>
    <xf numFmtId="169" fontId="18" fillId="0" borderId="19" xfId="0" applyNumberFormat="1" applyFont="1" applyBorder="1" applyAlignment="1">
      <alignment horizontal="center" vertical="center" wrapText="1"/>
    </xf>
    <xf numFmtId="169" fontId="18" fillId="0" borderId="67" xfId="0" applyNumberFormat="1" applyFont="1" applyBorder="1" applyAlignment="1">
      <alignment horizontal="center" vertical="center" wrapText="1"/>
    </xf>
    <xf numFmtId="169" fontId="18" fillId="0" borderId="41" xfId="0" applyNumberFormat="1" applyFont="1" applyBorder="1" applyAlignment="1">
      <alignment horizontal="center" vertical="center" wrapText="1"/>
    </xf>
    <xf numFmtId="169" fontId="18" fillId="0" borderId="40" xfId="0" applyNumberFormat="1" applyFont="1" applyBorder="1" applyAlignment="1">
      <alignment horizontal="center" vertical="center" wrapText="1"/>
    </xf>
    <xf numFmtId="169" fontId="18" fillId="0" borderId="16" xfId="0" applyNumberFormat="1" applyFont="1" applyBorder="1" applyAlignment="1">
      <alignment horizontal="center" vertical="center" wrapText="1"/>
    </xf>
    <xf numFmtId="169" fontId="18" fillId="0" borderId="68" xfId="0" applyNumberFormat="1" applyFont="1" applyBorder="1" applyAlignment="1">
      <alignment horizontal="center" vertical="center" wrapText="1"/>
    </xf>
    <xf numFmtId="178" fontId="14" fillId="0" borderId="0" xfId="0" applyNumberFormat="1" applyFont="1" applyAlignment="1">
      <alignment horizontal="center" vertical="center"/>
    </xf>
    <xf numFmtId="169" fontId="33" fillId="0" borderId="1" xfId="0" applyNumberFormat="1" applyFont="1" applyBorder="1" applyAlignment="1">
      <alignment horizontal="left" vertical="center"/>
    </xf>
    <xf numFmtId="169" fontId="18" fillId="0" borderId="1" xfId="1" applyNumberFormat="1" applyFont="1" applyBorder="1" applyAlignment="1" applyProtection="1">
      <alignment horizontal="left" vertical="center"/>
    </xf>
    <xf numFmtId="172" fontId="14" fillId="0" borderId="14" xfId="0" applyNumberFormat="1" applyFont="1" applyBorder="1" applyAlignment="1">
      <alignment horizontal="center" vertical="center"/>
    </xf>
    <xf numFmtId="172" fontId="14" fillId="0" borderId="17" xfId="0" applyNumberFormat="1" applyFont="1" applyBorder="1" applyAlignment="1">
      <alignment horizontal="center" vertical="center"/>
    </xf>
    <xf numFmtId="172" fontId="14" fillId="0" borderId="23" xfId="0" applyNumberFormat="1" applyFont="1" applyBorder="1" applyAlignment="1">
      <alignment horizontal="center" vertical="center"/>
    </xf>
    <xf numFmtId="169" fontId="33" fillId="0" borderId="1" xfId="1" applyNumberFormat="1" applyFont="1" applyBorder="1" applyAlignment="1" applyProtection="1">
      <alignment horizontal="left" vertical="center"/>
    </xf>
    <xf numFmtId="0" fontId="14" fillId="0" borderId="77" xfId="0" applyFont="1" applyBorder="1" applyAlignment="1">
      <alignment horizontal="center" vertical="center"/>
    </xf>
    <xf numFmtId="0" fontId="2" fillId="0" borderId="1" xfId="0" applyFont="1" applyBorder="1" applyAlignment="1">
      <alignment horizontal="center" vertical="center"/>
    </xf>
    <xf numFmtId="0" fontId="58" fillId="0" borderId="16" xfId="0" applyFont="1" applyBorder="1" applyAlignment="1">
      <alignment horizontal="center" vertical="top" wrapText="1"/>
    </xf>
    <xf numFmtId="172" fontId="14" fillId="2" borderId="14" xfId="0" applyNumberFormat="1" applyFont="1" applyFill="1" applyBorder="1" applyAlignment="1">
      <alignment horizontal="center" vertical="center"/>
    </xf>
    <xf numFmtId="172" fontId="14" fillId="2" borderId="17" xfId="0" applyNumberFormat="1" applyFont="1" applyFill="1" applyBorder="1" applyAlignment="1">
      <alignment horizontal="center" vertical="center"/>
    </xf>
    <xf numFmtId="172" fontId="14" fillId="2" borderId="23" xfId="0" applyNumberFormat="1" applyFont="1" applyFill="1" applyBorder="1" applyAlignment="1">
      <alignment horizontal="center" vertical="center"/>
    </xf>
    <xf numFmtId="182" fontId="14" fillId="2" borderId="14" xfId="0" applyNumberFormat="1" applyFont="1" applyFill="1" applyBorder="1" applyAlignment="1">
      <alignment horizontal="center"/>
    </xf>
    <xf numFmtId="182" fontId="14" fillId="2" borderId="23" xfId="0" applyNumberFormat="1" applyFont="1" applyFill="1" applyBorder="1" applyAlignment="1">
      <alignment horizontal="center"/>
    </xf>
    <xf numFmtId="0" fontId="14" fillId="2" borderId="1" xfId="0" applyFont="1" applyFill="1" applyBorder="1" applyAlignment="1">
      <alignment horizontal="center" vertical="center"/>
    </xf>
    <xf numFmtId="169" fontId="14" fillId="2" borderId="1" xfId="0" applyNumberFormat="1" applyFont="1" applyFill="1" applyBorder="1" applyAlignment="1">
      <alignment horizontal="center" vertical="center"/>
    </xf>
    <xf numFmtId="0" fontId="14" fillId="2" borderId="14" xfId="0" applyFont="1" applyFill="1" applyBorder="1" applyAlignment="1">
      <alignment horizontal="center" vertical="center"/>
    </xf>
    <xf numFmtId="0" fontId="14" fillId="2" borderId="23" xfId="0" applyFont="1" applyFill="1" applyBorder="1" applyAlignment="1">
      <alignment horizontal="center" vertical="center"/>
    </xf>
    <xf numFmtId="169" fontId="14" fillId="2" borderId="14" xfId="0" applyNumberFormat="1" applyFont="1" applyFill="1" applyBorder="1" applyAlignment="1">
      <alignment horizontal="center" vertical="center"/>
    </xf>
    <xf numFmtId="169" fontId="14" fillId="2" borderId="23" xfId="0" applyNumberFormat="1" applyFont="1" applyFill="1" applyBorder="1" applyAlignment="1">
      <alignment horizontal="center" vertical="center"/>
    </xf>
    <xf numFmtId="0" fontId="14" fillId="2" borderId="82" xfId="0" applyFont="1" applyFill="1" applyBorder="1" applyAlignment="1">
      <alignment horizontal="left" vertical="center"/>
    </xf>
    <xf numFmtId="167" fontId="14" fillId="2" borderId="16" xfId="0" applyNumberFormat="1" applyFont="1" applyFill="1" applyBorder="1" applyAlignment="1">
      <alignment horizontal="left" vertical="center"/>
    </xf>
    <xf numFmtId="0" fontId="18" fillId="2" borderId="19" xfId="0"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2" borderId="40" xfId="0" applyFont="1" applyFill="1" applyBorder="1" applyAlignment="1">
      <alignment horizontal="center" vertical="center" wrapText="1"/>
    </xf>
    <xf numFmtId="0" fontId="18" fillId="2" borderId="68" xfId="0" applyFont="1" applyFill="1" applyBorder="1" applyAlignment="1">
      <alignment horizontal="center" vertical="center" wrapText="1"/>
    </xf>
    <xf numFmtId="0" fontId="18" fillId="2" borderId="67" xfId="0" applyFont="1" applyFill="1" applyBorder="1" applyAlignment="1">
      <alignment horizontal="center" vertical="center" wrapText="1"/>
    </xf>
    <xf numFmtId="0" fontId="18" fillId="2" borderId="16" xfId="0" applyFont="1" applyFill="1" applyBorder="1" applyAlignment="1">
      <alignment horizontal="center" vertical="center" wrapText="1"/>
    </xf>
    <xf numFmtId="169" fontId="18" fillId="2" borderId="19" xfId="0" applyNumberFormat="1" applyFont="1" applyFill="1" applyBorder="1" applyAlignment="1">
      <alignment horizontal="center" vertical="center" wrapText="1"/>
    </xf>
    <xf numFmtId="169" fontId="18" fillId="2" borderId="41" xfId="0" applyNumberFormat="1" applyFont="1" applyFill="1" applyBorder="1" applyAlignment="1">
      <alignment horizontal="center" vertical="center" wrapText="1"/>
    </xf>
    <xf numFmtId="169" fontId="18" fillId="2" borderId="40" xfId="0" applyNumberFormat="1" applyFont="1" applyFill="1" applyBorder="1" applyAlignment="1">
      <alignment horizontal="center" vertical="center" wrapText="1"/>
    </xf>
    <xf numFmtId="169" fontId="18" fillId="2" borderId="68" xfId="0" applyNumberFormat="1" applyFont="1" applyFill="1" applyBorder="1" applyAlignment="1">
      <alignment horizontal="center" vertical="center" wrapText="1"/>
    </xf>
    <xf numFmtId="0" fontId="14" fillId="2" borderId="0" xfId="0" applyFont="1" applyFill="1" applyAlignment="1" applyProtection="1">
      <alignment horizontal="center" vertical="center"/>
      <protection locked="0"/>
    </xf>
    <xf numFmtId="43" fontId="15" fillId="2" borderId="81" xfId="1" applyFont="1" applyFill="1" applyBorder="1" applyAlignment="1" applyProtection="1">
      <alignment horizontal="center" vertical="center"/>
    </xf>
    <xf numFmtId="43" fontId="15" fillId="2" borderId="16" xfId="1" applyFont="1" applyFill="1" applyBorder="1" applyAlignment="1" applyProtection="1">
      <alignment horizontal="center" vertical="center"/>
    </xf>
    <xf numFmtId="167" fontId="14" fillId="2" borderId="17" xfId="0" applyNumberFormat="1" applyFont="1" applyFill="1" applyBorder="1" applyAlignment="1">
      <alignment horizontal="left" vertical="center"/>
    </xf>
    <xf numFmtId="0" fontId="14" fillId="2" borderId="17" xfId="0" applyFont="1" applyFill="1" applyBorder="1" applyAlignment="1">
      <alignment horizontal="left" vertical="center"/>
    </xf>
    <xf numFmtId="169" fontId="14" fillId="2" borderId="15" xfId="0" applyNumberFormat="1" applyFont="1" applyFill="1" applyBorder="1" applyAlignment="1">
      <alignment horizontal="center" vertical="center"/>
    </xf>
    <xf numFmtId="169" fontId="33" fillId="2" borderId="23" xfId="0" applyNumberFormat="1" applyFont="1" applyFill="1" applyBorder="1" applyAlignment="1">
      <alignment horizontal="left" vertical="center"/>
    </xf>
    <xf numFmtId="169" fontId="33" fillId="2" borderId="1" xfId="0" applyNumberFormat="1" applyFont="1" applyFill="1" applyBorder="1" applyAlignment="1">
      <alignment horizontal="left" vertical="center"/>
    </xf>
    <xf numFmtId="169" fontId="18" fillId="2" borderId="1" xfId="0" applyNumberFormat="1" applyFont="1" applyFill="1" applyBorder="1" applyAlignment="1">
      <alignment horizontal="left" vertical="center"/>
    </xf>
    <xf numFmtId="169" fontId="18" fillId="2" borderId="14" xfId="0" applyNumberFormat="1" applyFont="1" applyFill="1" applyBorder="1" applyAlignment="1">
      <alignment horizontal="left" vertical="center"/>
    </xf>
    <xf numFmtId="169" fontId="18" fillId="2" borderId="17" xfId="0" applyNumberFormat="1" applyFont="1" applyFill="1" applyBorder="1" applyAlignment="1">
      <alignment horizontal="left" vertical="center"/>
    </xf>
    <xf numFmtId="169" fontId="18" fillId="2" borderId="23" xfId="0" applyNumberFormat="1" applyFont="1" applyFill="1" applyBorder="1" applyAlignment="1">
      <alignment horizontal="left" vertical="center"/>
    </xf>
    <xf numFmtId="0" fontId="14" fillId="2" borderId="77" xfId="0" applyFont="1" applyFill="1" applyBorder="1" applyAlignment="1">
      <alignment horizontal="center" vertical="center"/>
    </xf>
    <xf numFmtId="0" fontId="18" fillId="2" borderId="0" xfId="0" applyFont="1" applyFill="1" applyAlignment="1">
      <alignment horizontal="center" vertical="center"/>
    </xf>
    <xf numFmtId="14" fontId="10" fillId="5" borderId="0" xfId="0" applyNumberFormat="1" applyFont="1" applyFill="1" applyAlignment="1">
      <alignment horizontal="center" vertical="center"/>
    </xf>
    <xf numFmtId="14" fontId="10" fillId="5" borderId="16" xfId="0" applyNumberFormat="1" applyFont="1" applyFill="1" applyBorder="1" applyAlignment="1">
      <alignment horizontal="center" vertical="center"/>
    </xf>
    <xf numFmtId="169" fontId="33" fillId="2" borderId="14" xfId="1" applyNumberFormat="1" applyFont="1" applyFill="1" applyBorder="1" applyAlignment="1" applyProtection="1">
      <alignment horizontal="left" vertical="center"/>
    </xf>
    <xf numFmtId="169" fontId="33" fillId="2" borderId="17" xfId="1" applyNumberFormat="1" applyFont="1" applyFill="1" applyBorder="1" applyAlignment="1" applyProtection="1">
      <alignment horizontal="left" vertical="center"/>
    </xf>
    <xf numFmtId="169" fontId="33" fillId="2" borderId="23" xfId="1" applyNumberFormat="1" applyFont="1" applyFill="1" applyBorder="1" applyAlignment="1" applyProtection="1">
      <alignment horizontal="left" vertical="center"/>
    </xf>
    <xf numFmtId="2" fontId="14" fillId="2" borderId="14" xfId="0" applyNumberFormat="1" applyFont="1" applyFill="1" applyBorder="1" applyAlignment="1">
      <alignment horizontal="center" vertical="center"/>
    </xf>
    <xf numFmtId="0" fontId="14" fillId="2" borderId="17" xfId="0" applyFont="1" applyFill="1" applyBorder="1" applyAlignment="1">
      <alignment horizontal="center" vertical="center"/>
    </xf>
    <xf numFmtId="169" fontId="18" fillId="2" borderId="1" xfId="1" applyNumberFormat="1" applyFont="1" applyFill="1" applyBorder="1" applyAlignment="1" applyProtection="1">
      <alignment horizontal="left" vertical="center"/>
    </xf>
    <xf numFmtId="169" fontId="33" fillId="2" borderId="1" xfId="1" applyNumberFormat="1" applyFont="1" applyFill="1" applyBorder="1" applyAlignment="1" applyProtection="1">
      <alignment horizontal="left" vertical="center"/>
    </xf>
    <xf numFmtId="0" fontId="14" fillId="2" borderId="17" xfId="0" applyFont="1" applyFill="1" applyBorder="1" applyAlignment="1">
      <alignment vertical="center"/>
    </xf>
    <xf numFmtId="0" fontId="14" fillId="2" borderId="23" xfId="0" applyFont="1" applyFill="1" applyBorder="1" applyAlignment="1">
      <alignment vertical="center"/>
    </xf>
    <xf numFmtId="2" fontId="14" fillId="2" borderId="17" xfId="0" applyNumberFormat="1" applyFont="1" applyFill="1" applyBorder="1" applyAlignment="1">
      <alignment horizontal="center" vertical="center"/>
    </xf>
    <xf numFmtId="169" fontId="8" fillId="0" borderId="19" xfId="0" applyNumberFormat="1" applyFont="1" applyBorder="1" applyAlignment="1" applyProtection="1">
      <alignment horizontal="center" vertical="center" wrapText="1"/>
      <protection locked="0"/>
    </xf>
    <xf numFmtId="169" fontId="8" fillId="0" borderId="67" xfId="0" applyNumberFormat="1" applyFont="1" applyBorder="1" applyAlignment="1" applyProtection="1">
      <alignment horizontal="center" vertical="center" wrapText="1"/>
      <protection locked="0"/>
    </xf>
    <xf numFmtId="169" fontId="8" fillId="0" borderId="41" xfId="0" applyNumberFormat="1" applyFont="1" applyBorder="1" applyAlignment="1" applyProtection="1">
      <alignment horizontal="center" vertical="center" wrapText="1"/>
      <protection locked="0"/>
    </xf>
    <xf numFmtId="169" fontId="8" fillId="0" borderId="40" xfId="0" applyNumberFormat="1" applyFont="1" applyBorder="1" applyAlignment="1" applyProtection="1">
      <alignment horizontal="center" vertical="center" wrapText="1"/>
      <protection locked="0"/>
    </xf>
    <xf numFmtId="169" fontId="8" fillId="0" borderId="16" xfId="0" applyNumberFormat="1" applyFont="1" applyBorder="1" applyAlignment="1" applyProtection="1">
      <alignment horizontal="center" vertical="center" wrapText="1"/>
      <protection locked="0"/>
    </xf>
    <xf numFmtId="169" fontId="8" fillId="0" borderId="68" xfId="0" applyNumberFormat="1" applyFont="1" applyBorder="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8" fillId="0" borderId="67" xfId="0" applyFont="1" applyBorder="1" applyAlignment="1" applyProtection="1">
      <alignment horizontal="center" vertical="center" wrapText="1"/>
      <protection locked="0"/>
    </xf>
    <xf numFmtId="0" fontId="8" fillId="0" borderId="41" xfId="0" applyFont="1" applyBorder="1" applyAlignment="1" applyProtection="1">
      <alignment horizontal="center" vertical="center" wrapText="1"/>
      <protection locked="0"/>
    </xf>
    <xf numFmtId="0" fontId="8" fillId="0" borderId="40"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68" xfId="0" applyFont="1" applyBorder="1" applyAlignment="1" applyProtection="1">
      <alignment horizontal="center" vertical="center" wrapText="1"/>
      <protection locked="0"/>
    </xf>
    <xf numFmtId="0" fontId="11" fillId="5" borderId="0" xfId="0" applyFont="1" applyFill="1" applyAlignment="1" applyProtection="1">
      <alignment horizontal="center" vertical="center"/>
      <protection locked="0"/>
    </xf>
    <xf numFmtId="0" fontId="8" fillId="0" borderId="1" xfId="0" applyFont="1" applyBorder="1" applyAlignment="1" applyProtection="1">
      <alignment horizontal="center" vertical="center"/>
      <protection locked="0"/>
    </xf>
    <xf numFmtId="167" fontId="8" fillId="0" borderId="77" xfId="0" applyNumberFormat="1" applyFont="1" applyBorder="1" applyAlignment="1">
      <alignment horizontal="center" vertical="center"/>
    </xf>
    <xf numFmtId="169" fontId="8" fillId="0" borderId="1" xfId="0" applyNumberFormat="1" applyFont="1" applyBorder="1" applyAlignment="1" applyProtection="1">
      <alignment horizontal="center" vertical="center"/>
      <protection locked="0"/>
    </xf>
    <xf numFmtId="0" fontId="16" fillId="0" borderId="8" xfId="0" applyFont="1" applyBorder="1" applyAlignment="1" applyProtection="1">
      <alignment horizontal="center"/>
      <protection locked="0"/>
    </xf>
    <xf numFmtId="169" fontId="19" fillId="0" borderId="7" xfId="0" applyNumberFormat="1" applyFont="1" applyBorder="1" applyAlignment="1" applyProtection="1">
      <alignment horizontal="left" vertical="center"/>
      <protection locked="0"/>
    </xf>
    <xf numFmtId="169" fontId="19" fillId="0" borderId="8" xfId="0" applyNumberFormat="1" applyFont="1" applyBorder="1" applyAlignment="1" applyProtection="1">
      <alignment horizontal="left" vertical="center"/>
      <protection locked="0"/>
    </xf>
    <xf numFmtId="169" fontId="19" fillId="0" borderId="9" xfId="0" applyNumberFormat="1" applyFont="1" applyBorder="1" applyAlignment="1" applyProtection="1">
      <alignment horizontal="left" vertical="center"/>
      <protection locked="0"/>
    </xf>
    <xf numFmtId="14" fontId="10" fillId="5" borderId="1" xfId="0" applyNumberFormat="1" applyFont="1" applyFill="1" applyBorder="1" applyAlignment="1" applyProtection="1">
      <alignment horizontal="center" vertical="center"/>
      <protection locked="0"/>
    </xf>
    <xf numFmtId="169" fontId="20" fillId="0" borderId="8" xfId="0" applyNumberFormat="1" applyFont="1" applyBorder="1" applyAlignment="1" applyProtection="1">
      <alignment horizontal="left" vertical="center"/>
      <protection locked="0"/>
    </xf>
    <xf numFmtId="169" fontId="20" fillId="0" borderId="9" xfId="0" applyNumberFormat="1" applyFont="1" applyBorder="1" applyAlignment="1" applyProtection="1">
      <alignment horizontal="left" vertical="center"/>
      <protection locked="0"/>
    </xf>
    <xf numFmtId="0" fontId="15" fillId="0" borderId="7" xfId="0" applyFont="1" applyBorder="1" applyAlignment="1" applyProtection="1">
      <alignment horizontal="center" vertical="center"/>
      <protection locked="0"/>
    </xf>
    <xf numFmtId="0" fontId="15" fillId="0" borderId="8" xfId="0" applyFont="1" applyBorder="1" applyAlignment="1" applyProtection="1">
      <alignment horizontal="center" vertical="center"/>
      <protection locked="0"/>
    </xf>
    <xf numFmtId="0" fontId="15" fillId="0" borderId="9" xfId="0" applyFont="1" applyBorder="1" applyAlignment="1" applyProtection="1">
      <alignment horizontal="center" vertical="center"/>
      <protection locked="0"/>
    </xf>
    <xf numFmtId="0" fontId="10" fillId="5" borderId="1" xfId="0" applyFont="1" applyFill="1" applyBorder="1" applyAlignment="1" applyProtection="1">
      <alignment horizontal="center" vertical="center"/>
      <protection locked="0"/>
    </xf>
    <xf numFmtId="2" fontId="8" fillId="0" borderId="7" xfId="0" applyNumberFormat="1" applyFont="1" applyBorder="1" applyAlignment="1">
      <alignment horizontal="center" vertical="center"/>
    </xf>
    <xf numFmtId="2" fontId="8" fillId="0" borderId="8" xfId="0" applyNumberFormat="1" applyFont="1" applyBorder="1" applyAlignment="1">
      <alignment horizontal="center" vertical="center"/>
    </xf>
    <xf numFmtId="169" fontId="19" fillId="0" borderId="18" xfId="0" applyNumberFormat="1" applyFont="1" applyBorder="1" applyAlignment="1" applyProtection="1">
      <alignment horizontal="left" vertical="center"/>
      <protection locked="0"/>
    </xf>
    <xf numFmtId="169" fontId="19" fillId="0" borderId="35" xfId="0" applyNumberFormat="1" applyFont="1" applyBorder="1" applyAlignment="1" applyProtection="1">
      <alignment horizontal="left" vertical="center"/>
      <protection locked="0"/>
    </xf>
    <xf numFmtId="0" fontId="66" fillId="2" borderId="0" xfId="0" applyFont="1" applyFill="1" applyAlignment="1" applyProtection="1">
      <alignment horizontal="center"/>
      <protection locked="0"/>
    </xf>
    <xf numFmtId="169" fontId="19" fillId="0" borderId="83" xfId="0" applyNumberFormat="1" applyFont="1" applyBorder="1" applyAlignment="1" applyProtection="1">
      <alignment horizontal="center" vertical="center"/>
      <protection locked="0"/>
    </xf>
    <xf numFmtId="0" fontId="8" fillId="0" borderId="18" xfId="0" applyFont="1" applyBorder="1" applyAlignment="1" applyProtection="1">
      <alignment horizontal="center"/>
      <protection locked="0"/>
    </xf>
    <xf numFmtId="178" fontId="20" fillId="0" borderId="83" xfId="1" applyNumberFormat="1" applyFont="1" applyBorder="1" applyAlignment="1" applyProtection="1">
      <alignment horizontal="center" vertical="center"/>
      <protection locked="0"/>
    </xf>
    <xf numFmtId="178" fontId="20" fillId="0" borderId="83" xfId="0" applyNumberFormat="1" applyFont="1" applyBorder="1" applyAlignment="1" applyProtection="1">
      <alignment horizontal="center" vertical="center"/>
      <protection locked="0"/>
    </xf>
    <xf numFmtId="169" fontId="20" fillId="0" borderId="7" xfId="0" applyNumberFormat="1" applyFont="1" applyBorder="1" applyAlignment="1" applyProtection="1">
      <alignment horizontal="left" vertical="center"/>
      <protection locked="0"/>
    </xf>
    <xf numFmtId="169" fontId="20" fillId="0" borderId="0" xfId="0" applyNumberFormat="1" applyFont="1" applyAlignment="1" applyProtection="1">
      <alignment horizontal="left" vertical="center"/>
      <protection locked="0"/>
    </xf>
    <xf numFmtId="169" fontId="20" fillId="0" borderId="21" xfId="0" applyNumberFormat="1" applyFont="1" applyBorder="1" applyAlignment="1" applyProtection="1">
      <alignment horizontal="left" vertical="center"/>
      <protection locked="0"/>
    </xf>
    <xf numFmtId="0" fontId="8" fillId="0" borderId="8" xfId="0" applyFont="1" applyBorder="1" applyAlignment="1">
      <alignment vertical="center"/>
    </xf>
    <xf numFmtId="0" fontId="8" fillId="0" borderId="9" xfId="0" applyFont="1" applyBorder="1" applyAlignment="1">
      <alignment vertical="center"/>
    </xf>
    <xf numFmtId="2" fontId="8" fillId="0" borderId="14" xfId="0" applyNumberFormat="1" applyFont="1" applyBorder="1" applyAlignment="1" applyProtection="1">
      <alignment horizontal="center" vertical="center"/>
      <protection locked="0"/>
    </xf>
    <xf numFmtId="2" fontId="8" fillId="0" borderId="17" xfId="0" applyNumberFormat="1" applyFont="1" applyBorder="1" applyAlignment="1" applyProtection="1">
      <alignment horizontal="center" vertical="center"/>
      <protection locked="0"/>
    </xf>
    <xf numFmtId="0" fontId="8" fillId="0" borderId="17" xfId="0" applyFont="1" applyBorder="1" applyAlignment="1" applyProtection="1">
      <alignment vertical="center"/>
      <protection locked="0"/>
    </xf>
    <xf numFmtId="0" fontId="8" fillId="0" borderId="23" xfId="0" applyFont="1" applyBorder="1" applyAlignment="1" applyProtection="1">
      <alignment vertical="center"/>
      <protection locked="0"/>
    </xf>
    <xf numFmtId="169" fontId="20" fillId="0" borderId="1" xfId="0" applyNumberFormat="1" applyFont="1" applyBorder="1" applyAlignment="1" applyProtection="1">
      <alignment horizontal="center" vertical="center"/>
      <protection locked="0"/>
    </xf>
    <xf numFmtId="0" fontId="14" fillId="0" borderId="1" xfId="0" applyFont="1" applyBorder="1" applyAlignment="1" applyProtection="1">
      <alignment horizontal="center" vertical="center"/>
      <protection locked="0"/>
    </xf>
    <xf numFmtId="169" fontId="15" fillId="8" borderId="1" xfId="1" applyNumberFormat="1" applyFont="1" applyFill="1" applyBorder="1" applyAlignment="1" applyProtection="1">
      <alignment horizontal="center" vertical="center"/>
      <protection locked="0"/>
    </xf>
    <xf numFmtId="0" fontId="66" fillId="0" borderId="0" xfId="0" applyFont="1" applyAlignment="1" applyProtection="1">
      <alignment horizontal="center" vertical="center"/>
      <protection locked="0"/>
    </xf>
    <xf numFmtId="0" fontId="10" fillId="5" borderId="19" xfId="0" applyFont="1" applyFill="1" applyBorder="1" applyAlignment="1" applyProtection="1">
      <alignment horizontal="center" vertical="center"/>
      <protection locked="0"/>
    </xf>
    <xf numFmtId="0" fontId="10" fillId="5" borderId="41" xfId="0" applyFont="1" applyFill="1" applyBorder="1" applyAlignment="1" applyProtection="1">
      <alignment horizontal="center" vertical="center"/>
      <protection locked="0"/>
    </xf>
    <xf numFmtId="0" fontId="10" fillId="5" borderId="40" xfId="0" applyFont="1" applyFill="1" applyBorder="1" applyAlignment="1" applyProtection="1">
      <alignment horizontal="center" vertical="center"/>
      <protection locked="0"/>
    </xf>
    <xf numFmtId="0" fontId="10" fillId="5" borderId="68" xfId="0" applyFont="1" applyFill="1" applyBorder="1" applyAlignment="1" applyProtection="1">
      <alignment horizontal="center" vertical="center"/>
      <protection locked="0"/>
    </xf>
    <xf numFmtId="0" fontId="7" fillId="5" borderId="1" xfId="0" applyFont="1" applyFill="1" applyBorder="1" applyAlignment="1" applyProtection="1">
      <alignment horizontal="center" vertical="center"/>
      <protection locked="0"/>
    </xf>
    <xf numFmtId="167" fontId="8" fillId="0" borderId="1" xfId="0" applyNumberFormat="1" applyFont="1" applyBorder="1" applyAlignment="1" applyProtection="1">
      <alignment horizontal="center" vertical="center"/>
      <protection locked="0"/>
    </xf>
    <xf numFmtId="0" fontId="8" fillId="0" borderId="14" xfId="0" applyFont="1" applyBorder="1" applyAlignment="1" applyProtection="1">
      <alignment horizontal="center" vertical="center"/>
      <protection locked="0"/>
    </xf>
    <xf numFmtId="0" fontId="8" fillId="0" borderId="17" xfId="0" applyFont="1" applyBorder="1" applyAlignment="1" applyProtection="1">
      <alignment horizontal="center" vertical="center"/>
      <protection locked="0"/>
    </xf>
    <xf numFmtId="0" fontId="8" fillId="0" borderId="23" xfId="0" applyFont="1" applyBorder="1" applyAlignment="1" applyProtection="1">
      <alignment horizontal="center" vertical="center"/>
      <protection locked="0"/>
    </xf>
    <xf numFmtId="0" fontId="8" fillId="0" borderId="29" xfId="0" applyFont="1" applyBorder="1" applyAlignment="1" applyProtection="1">
      <alignment horizontal="center" vertical="center"/>
      <protection locked="0"/>
    </xf>
    <xf numFmtId="0" fontId="7" fillId="5" borderId="1" xfId="0" applyFont="1" applyFill="1" applyBorder="1" applyAlignment="1" applyProtection="1">
      <alignment horizontal="left" vertical="center"/>
      <protection locked="0"/>
    </xf>
    <xf numFmtId="43" fontId="8" fillId="0" borderId="16" xfId="1" applyFont="1" applyBorder="1" applyAlignment="1" applyProtection="1">
      <alignment horizontal="center"/>
      <protection locked="0"/>
    </xf>
    <xf numFmtId="0" fontId="7" fillId="5" borderId="75" xfId="0" applyFont="1" applyFill="1" applyBorder="1" applyAlignment="1">
      <alignment vertical="center"/>
    </xf>
    <xf numFmtId="174" fontId="20" fillId="7" borderId="5" xfId="3" applyNumberFormat="1" applyFont="1" applyFill="1" applyBorder="1" applyAlignment="1" applyProtection="1">
      <alignment horizontal="center" vertical="center"/>
      <protection locked="0"/>
    </xf>
    <xf numFmtId="174" fontId="20" fillId="7" borderId="39" xfId="3" applyNumberFormat="1" applyFont="1" applyFill="1" applyBorder="1" applyAlignment="1" applyProtection="1">
      <alignment horizontal="center" vertical="center"/>
      <protection locked="0"/>
    </xf>
    <xf numFmtId="179" fontId="8" fillId="0" borderId="5" xfId="1" applyNumberFormat="1"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169" fontId="8" fillId="0" borderId="34" xfId="0" applyNumberFormat="1" applyFont="1" applyBorder="1" applyAlignment="1" applyProtection="1">
      <alignment horizontal="center" vertical="center"/>
      <protection locked="0"/>
    </xf>
    <xf numFmtId="169" fontId="8" fillId="0" borderId="18" xfId="0" applyNumberFormat="1" applyFont="1" applyBorder="1" applyAlignment="1" applyProtection="1">
      <alignment horizontal="center" vertical="center"/>
      <protection locked="0"/>
    </xf>
    <xf numFmtId="169" fontId="8" fillId="0" borderId="35" xfId="0" applyNumberFormat="1" applyFont="1" applyBorder="1" applyAlignment="1" applyProtection="1">
      <alignment horizontal="center" vertical="center"/>
      <protection locked="0"/>
    </xf>
    <xf numFmtId="169" fontId="8" fillId="0" borderId="7" xfId="0" applyNumberFormat="1" applyFont="1" applyBorder="1" applyAlignment="1" applyProtection="1">
      <alignment horizontal="center" vertical="center"/>
      <protection locked="0"/>
    </xf>
    <xf numFmtId="169" fontId="8" fillId="0" borderId="8" xfId="0" applyNumberFormat="1" applyFont="1" applyBorder="1" applyAlignment="1" applyProtection="1">
      <alignment horizontal="center" vertical="center"/>
      <protection locked="0"/>
    </xf>
    <xf numFmtId="169" fontId="8" fillId="0" borderId="9" xfId="0" applyNumberFormat="1" applyFont="1" applyBorder="1" applyAlignment="1" applyProtection="1">
      <alignment horizontal="center" vertical="center"/>
      <protection locked="0"/>
    </xf>
  </cellXfs>
  <cellStyles count="26">
    <cellStyle name="Comma" xfId="1" builtinId="3"/>
    <cellStyle name="Comma 2" xfId="6" xr:uid="{00000000-0005-0000-0000-000001000000}"/>
    <cellStyle name="Comma 2 2" xfId="14" xr:uid="{9B02DF7B-E012-44F4-A534-6027E1E21E2B}"/>
    <cellStyle name="Comma 3" xfId="19" xr:uid="{B6C22E7C-53CE-4EF9-B1DC-D81132EACA5B}"/>
    <cellStyle name="Comma 3 2" xfId="22" xr:uid="{45BF50C7-BE0B-4A85-AB1E-9F54DB480623}"/>
    <cellStyle name="Comma 4" xfId="25" xr:uid="{82D31CFA-04DB-4B05-A7C4-EB07EFDBB6D1}"/>
    <cellStyle name="Comma 6" xfId="8" xr:uid="{00000000-0005-0000-0000-000002000000}"/>
    <cellStyle name="Comma 7" xfId="4" xr:uid="{00000000-0005-0000-0000-000003000000}"/>
    <cellStyle name="Comma 7 2 10" xfId="11" xr:uid="{AB81A98D-0AD0-4900-8190-F1A7165DFD99}"/>
    <cellStyle name="Comma 7 2 12" xfId="10" xr:uid="{EEA3E0C7-DD6B-4303-A309-123DA489D9BE}"/>
    <cellStyle name="Comma 8 9" xfId="12" xr:uid="{4EAC4D63-36DC-4188-A476-4BABAE4B0CBA}"/>
    <cellStyle name="Currency" xfId="5" builtinId="4"/>
    <cellStyle name="Currency 2" xfId="17" xr:uid="{4FB6A4CE-FB49-4796-AC79-360280FF32C3}"/>
    <cellStyle name="Hyperlink 3" xfId="16" xr:uid="{BE27F2D0-0E5C-410E-BEEE-FCAA6FC623D1}"/>
    <cellStyle name="Normal" xfId="0" builtinId="0"/>
    <cellStyle name="Normal 2" xfId="3" xr:uid="{00000000-0005-0000-0000-000006000000}"/>
    <cellStyle name="Normal 2 2" xfId="13" xr:uid="{BBFA073A-1935-4BE5-8000-E77959E3025D}"/>
    <cellStyle name="Normal 3" xfId="7" xr:uid="{00000000-0005-0000-0000-000007000000}"/>
    <cellStyle name="Normal 3 2" xfId="21" xr:uid="{F7E20262-209F-455E-AAF7-AA2F71731B46}"/>
    <cellStyle name="Normal 4" xfId="23" xr:uid="{ADE64598-C566-41DE-BC50-8CEDA9EC9528}"/>
    <cellStyle name="Normal 5" xfId="24" xr:uid="{9896D190-3D5D-4176-9B11-441F81F3178B}"/>
    <cellStyle name="Normal 6" xfId="9" xr:uid="{00000000-0005-0000-0000-00003F000000}"/>
    <cellStyle name="Percent" xfId="2" builtinId="5"/>
    <cellStyle name="Percent 2" xfId="15" xr:uid="{8E8A6A46-4A10-4DC3-912E-CE036E7F5337}"/>
    <cellStyle name="Percent 3" xfId="18" xr:uid="{66EC7AA3-1391-43AC-8F0B-12F98F5B234D}"/>
    <cellStyle name="Percent 4" xfId="20" xr:uid="{813E00E9-32D7-477D-B28C-2073288FC6A1}"/>
  </cellStyles>
  <dxfs count="0"/>
  <tableStyles count="0" defaultTableStyle="TableStyleMedium2" defaultPivotStyle="PivotStyleLight16"/>
  <colors>
    <mruColors>
      <color rgb="FF6666FF"/>
      <color rgb="FF008000"/>
      <color rgb="FF33CC33"/>
      <color rgb="FFDBE5F1"/>
      <color rgb="FF006600"/>
      <color rgb="FF009900"/>
      <color rgb="FFFFFF99"/>
      <color rgb="FFFFFF66"/>
      <color rgb="FFEAF0F6"/>
      <color rgb="FFF4F7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haredStrings" Target="sharedStrings.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checked="Checked"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24752</xdr:rowOff>
    </xdr:from>
    <xdr:to>
      <xdr:col>14</xdr:col>
      <xdr:colOff>32470</xdr:colOff>
      <xdr:row>10</xdr:row>
      <xdr:rowOff>139700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208902"/>
          <a:ext cx="8414470" cy="1772298"/>
        </a:xfrm>
        <a:prstGeom prst="rect">
          <a:avLst/>
        </a:prstGeom>
      </xdr:spPr>
    </xdr:pic>
    <xdr:clientData/>
  </xdr:twoCellAnchor>
  <xdr:twoCellAnchor editAs="oneCell">
    <xdr:from>
      <xdr:col>0</xdr:col>
      <xdr:colOff>88900</xdr:colOff>
      <xdr:row>16</xdr:row>
      <xdr:rowOff>95250</xdr:rowOff>
    </xdr:from>
    <xdr:to>
      <xdr:col>20</xdr:col>
      <xdr:colOff>239776</xdr:colOff>
      <xdr:row>34</xdr:row>
      <xdr:rowOff>37693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88900" y="3041650"/>
          <a:ext cx="12190476" cy="32571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55</xdr:col>
      <xdr:colOff>714375</xdr:colOff>
      <xdr:row>123</xdr:row>
      <xdr:rowOff>111125</xdr:rowOff>
    </xdr:from>
    <xdr:to>
      <xdr:col>59</xdr:col>
      <xdr:colOff>655519</xdr:colOff>
      <xdr:row>129</xdr:row>
      <xdr:rowOff>161079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22391688" y="21724938"/>
          <a:ext cx="3536831" cy="1065955"/>
        </a:xfrm>
        <a:prstGeom prst="rect">
          <a:avLst/>
        </a:prstGeom>
      </xdr:spPr>
    </xdr:pic>
    <xdr:clientData/>
  </xdr:twoCellAnchor>
  <xdr:twoCellAnchor editAs="oneCell">
    <xdr:from>
      <xdr:col>166</xdr:col>
      <xdr:colOff>214321</xdr:colOff>
      <xdr:row>1</xdr:row>
      <xdr:rowOff>23811</xdr:rowOff>
    </xdr:from>
    <xdr:to>
      <xdr:col>174</xdr:col>
      <xdr:colOff>393880</xdr:colOff>
      <xdr:row>9</xdr:row>
      <xdr:rowOff>43022</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66540071" y="206374"/>
          <a:ext cx="4727755" cy="13527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18</xdr:row>
      <xdr:rowOff>111125</xdr:rowOff>
    </xdr:from>
    <xdr:to>
      <xdr:col>9</xdr:col>
      <xdr:colOff>285750</xdr:colOff>
      <xdr:row>18</xdr:row>
      <xdr:rowOff>301625</xdr:rowOff>
    </xdr:to>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3159125" y="2952750"/>
          <a:ext cx="1000125"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i="1">
              <a:solidFill>
                <a:srgbClr val="FF0000"/>
              </a:solidFill>
            </a:rPr>
            <a:t>dd/mm/yy</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8609" name="Check Box 1" hidden="1">
              <a:extLst>
                <a:ext uri="{63B3BB69-23CF-44E3-9099-C40C66FF867C}">
                  <a14:compatExt spid="_x0000_s68609"/>
                </a:ext>
                <a:ext uri="{FF2B5EF4-FFF2-40B4-BE49-F238E27FC236}">
                  <a16:creationId xmlns:a16="http://schemas.microsoft.com/office/drawing/2014/main" id="{00000000-0008-0000-0800-00000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68610" name="Check Box 2" hidden="1">
              <a:extLst>
                <a:ext uri="{63B3BB69-23CF-44E3-9099-C40C66FF867C}">
                  <a14:compatExt spid="_x0000_s68610"/>
                </a:ext>
                <a:ext uri="{FF2B5EF4-FFF2-40B4-BE49-F238E27FC236}">
                  <a16:creationId xmlns:a16="http://schemas.microsoft.com/office/drawing/2014/main" id="{00000000-0008-0000-0800-00000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8611" name="Check Box 3" hidden="1">
              <a:extLst>
                <a:ext uri="{63B3BB69-23CF-44E3-9099-C40C66FF867C}">
                  <a14:compatExt spid="_x0000_s68611"/>
                </a:ext>
                <a:ext uri="{FF2B5EF4-FFF2-40B4-BE49-F238E27FC236}">
                  <a16:creationId xmlns:a16="http://schemas.microsoft.com/office/drawing/2014/main" id="{00000000-0008-0000-0800-00000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8612" name="Check Box 4" hidden="1">
              <a:extLst>
                <a:ext uri="{63B3BB69-23CF-44E3-9099-C40C66FF867C}">
                  <a14:compatExt spid="_x0000_s68612"/>
                </a:ext>
                <a:ext uri="{FF2B5EF4-FFF2-40B4-BE49-F238E27FC236}">
                  <a16:creationId xmlns:a16="http://schemas.microsoft.com/office/drawing/2014/main" id="{00000000-0008-0000-0800-000004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8613" name="Check Box 5" hidden="1">
              <a:extLst>
                <a:ext uri="{63B3BB69-23CF-44E3-9099-C40C66FF867C}">
                  <a14:compatExt spid="_x0000_s68613"/>
                </a:ext>
                <a:ext uri="{FF2B5EF4-FFF2-40B4-BE49-F238E27FC236}">
                  <a16:creationId xmlns:a16="http://schemas.microsoft.com/office/drawing/2014/main" id="{00000000-0008-0000-0800-000005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8614" name="Check Box 6" hidden="1">
              <a:extLst>
                <a:ext uri="{63B3BB69-23CF-44E3-9099-C40C66FF867C}">
                  <a14:compatExt spid="_x0000_s68614"/>
                </a:ext>
                <a:ext uri="{FF2B5EF4-FFF2-40B4-BE49-F238E27FC236}">
                  <a16:creationId xmlns:a16="http://schemas.microsoft.com/office/drawing/2014/main" id="{00000000-0008-0000-0800-000006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8615" name="Check Box 7" hidden="1">
              <a:extLst>
                <a:ext uri="{63B3BB69-23CF-44E3-9099-C40C66FF867C}">
                  <a14:compatExt spid="_x0000_s68615"/>
                </a:ext>
                <a:ext uri="{FF2B5EF4-FFF2-40B4-BE49-F238E27FC236}">
                  <a16:creationId xmlns:a16="http://schemas.microsoft.com/office/drawing/2014/main" id="{00000000-0008-0000-0800-000007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8616" name="Check Box 8" hidden="1">
              <a:extLst>
                <a:ext uri="{63B3BB69-23CF-44E3-9099-C40C66FF867C}">
                  <a14:compatExt spid="_x0000_s68616"/>
                </a:ext>
                <a:ext uri="{FF2B5EF4-FFF2-40B4-BE49-F238E27FC236}">
                  <a16:creationId xmlns:a16="http://schemas.microsoft.com/office/drawing/2014/main" id="{00000000-0008-0000-0800-000008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68617" name="Check Box 9" hidden="1">
              <a:extLst>
                <a:ext uri="{63B3BB69-23CF-44E3-9099-C40C66FF867C}">
                  <a14:compatExt spid="_x0000_s68617"/>
                </a:ext>
                <a:ext uri="{FF2B5EF4-FFF2-40B4-BE49-F238E27FC236}">
                  <a16:creationId xmlns:a16="http://schemas.microsoft.com/office/drawing/2014/main" id="{00000000-0008-0000-0800-000009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68618" name="Check Box 10" hidden="1">
              <a:extLst>
                <a:ext uri="{63B3BB69-23CF-44E3-9099-C40C66FF867C}">
                  <a14:compatExt spid="_x0000_s68618"/>
                </a:ext>
                <a:ext uri="{FF2B5EF4-FFF2-40B4-BE49-F238E27FC236}">
                  <a16:creationId xmlns:a16="http://schemas.microsoft.com/office/drawing/2014/main" id="{00000000-0008-0000-0800-00000A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8619" name="Check Box 11" hidden="1">
              <a:extLst>
                <a:ext uri="{63B3BB69-23CF-44E3-9099-C40C66FF867C}">
                  <a14:compatExt spid="_x0000_s68619"/>
                </a:ext>
                <a:ext uri="{FF2B5EF4-FFF2-40B4-BE49-F238E27FC236}">
                  <a16:creationId xmlns:a16="http://schemas.microsoft.com/office/drawing/2014/main" id="{00000000-0008-0000-0800-00000B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8620" name="Check Box 12" hidden="1">
              <a:extLst>
                <a:ext uri="{63B3BB69-23CF-44E3-9099-C40C66FF867C}">
                  <a14:compatExt spid="_x0000_s68620"/>
                </a:ext>
                <a:ext uri="{FF2B5EF4-FFF2-40B4-BE49-F238E27FC236}">
                  <a16:creationId xmlns:a16="http://schemas.microsoft.com/office/drawing/2014/main" id="{00000000-0008-0000-0800-00000C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8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8621" name="Check Box 13" hidden="1">
              <a:extLst>
                <a:ext uri="{63B3BB69-23CF-44E3-9099-C40C66FF867C}">
                  <a14:compatExt spid="_x0000_s68621"/>
                </a:ext>
                <a:ext uri="{FF2B5EF4-FFF2-40B4-BE49-F238E27FC236}">
                  <a16:creationId xmlns:a16="http://schemas.microsoft.com/office/drawing/2014/main" id="{00000000-0008-0000-0800-00000D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8622" name="Check Box 14" hidden="1">
              <a:extLst>
                <a:ext uri="{63B3BB69-23CF-44E3-9099-C40C66FF867C}">
                  <a14:compatExt spid="_x0000_s68622"/>
                </a:ext>
                <a:ext uri="{FF2B5EF4-FFF2-40B4-BE49-F238E27FC236}">
                  <a16:creationId xmlns:a16="http://schemas.microsoft.com/office/drawing/2014/main" id="{00000000-0008-0000-0800-00000E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8623" name="Check Box 15" hidden="1">
              <a:extLst>
                <a:ext uri="{63B3BB69-23CF-44E3-9099-C40C66FF867C}">
                  <a14:compatExt spid="_x0000_s68623"/>
                </a:ext>
                <a:ext uri="{FF2B5EF4-FFF2-40B4-BE49-F238E27FC236}">
                  <a16:creationId xmlns:a16="http://schemas.microsoft.com/office/drawing/2014/main" id="{00000000-0008-0000-0800-00000F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8624" name="Check Box 16" hidden="1">
              <a:extLst>
                <a:ext uri="{63B3BB69-23CF-44E3-9099-C40C66FF867C}">
                  <a14:compatExt spid="_x0000_s68624"/>
                </a:ext>
                <a:ext uri="{FF2B5EF4-FFF2-40B4-BE49-F238E27FC236}">
                  <a16:creationId xmlns:a16="http://schemas.microsoft.com/office/drawing/2014/main" id="{00000000-0008-0000-0800-000010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8625" name="Check Box 17" hidden="1">
              <a:extLst>
                <a:ext uri="{63B3BB69-23CF-44E3-9099-C40C66FF867C}">
                  <a14:compatExt spid="_x0000_s68625"/>
                </a:ext>
                <a:ext uri="{FF2B5EF4-FFF2-40B4-BE49-F238E27FC236}">
                  <a16:creationId xmlns:a16="http://schemas.microsoft.com/office/drawing/2014/main" id="{00000000-0008-0000-0800-00001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8626" name="Check Box 18" hidden="1">
              <a:extLst>
                <a:ext uri="{63B3BB69-23CF-44E3-9099-C40C66FF867C}">
                  <a14:compatExt spid="_x0000_s68626"/>
                </a:ext>
                <a:ext uri="{FF2B5EF4-FFF2-40B4-BE49-F238E27FC236}">
                  <a16:creationId xmlns:a16="http://schemas.microsoft.com/office/drawing/2014/main" id="{00000000-0008-0000-0800-00001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8627" name="Check Box 19" hidden="1">
              <a:extLst>
                <a:ext uri="{63B3BB69-23CF-44E3-9099-C40C66FF867C}">
                  <a14:compatExt spid="_x0000_s68627"/>
                </a:ext>
                <a:ext uri="{FF2B5EF4-FFF2-40B4-BE49-F238E27FC236}">
                  <a16:creationId xmlns:a16="http://schemas.microsoft.com/office/drawing/2014/main" id="{00000000-0008-0000-0800-00001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1</xdr:rowOff>
    </xdr:from>
    <xdr:to>
      <xdr:col>20</xdr:col>
      <xdr:colOff>95251</xdr:colOff>
      <xdr:row>111</xdr:row>
      <xdr:rowOff>57151</xdr:rowOff>
    </xdr:to>
    <xdr:sp macro="" textlink="">
      <xdr:nvSpPr>
        <xdr:cNvPr id="24" name="TextBox 23">
          <a:extLst>
            <a:ext uri="{FF2B5EF4-FFF2-40B4-BE49-F238E27FC236}">
              <a16:creationId xmlns:a16="http://schemas.microsoft.com/office/drawing/2014/main" id="{00000000-0008-0000-0800-000018000000}"/>
            </a:ext>
          </a:extLst>
        </xdr:cNvPr>
        <xdr:cNvSpPr txBox="1"/>
      </xdr:nvSpPr>
      <xdr:spPr>
        <a:xfrm>
          <a:off x="0" y="18583276"/>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9633" name="Check Box 1" hidden="1">
              <a:extLst>
                <a:ext uri="{63B3BB69-23CF-44E3-9099-C40C66FF867C}">
                  <a14:compatExt spid="_x0000_s69633"/>
                </a:ext>
                <a:ext uri="{FF2B5EF4-FFF2-40B4-BE49-F238E27FC236}">
                  <a16:creationId xmlns:a16="http://schemas.microsoft.com/office/drawing/2014/main" id="{00000000-0008-0000-0B00-00000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69634" name="Check Box 2" hidden="1">
              <a:extLst>
                <a:ext uri="{63B3BB69-23CF-44E3-9099-C40C66FF867C}">
                  <a14:compatExt spid="_x0000_s69634"/>
                </a:ext>
                <a:ext uri="{FF2B5EF4-FFF2-40B4-BE49-F238E27FC236}">
                  <a16:creationId xmlns:a16="http://schemas.microsoft.com/office/drawing/2014/main" id="{00000000-0008-0000-0B00-00000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9635" name="Check Box 3" hidden="1">
              <a:extLst>
                <a:ext uri="{63B3BB69-23CF-44E3-9099-C40C66FF867C}">
                  <a14:compatExt spid="_x0000_s69635"/>
                </a:ext>
                <a:ext uri="{FF2B5EF4-FFF2-40B4-BE49-F238E27FC236}">
                  <a16:creationId xmlns:a16="http://schemas.microsoft.com/office/drawing/2014/main" id="{00000000-0008-0000-0B00-00000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9636" name="Check Box 4" hidden="1">
              <a:extLst>
                <a:ext uri="{63B3BB69-23CF-44E3-9099-C40C66FF867C}">
                  <a14:compatExt spid="_x0000_s69636"/>
                </a:ext>
                <a:ext uri="{FF2B5EF4-FFF2-40B4-BE49-F238E27FC236}">
                  <a16:creationId xmlns:a16="http://schemas.microsoft.com/office/drawing/2014/main" id="{00000000-0008-0000-0B00-00000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9637" name="Check Box 5" hidden="1">
              <a:extLst>
                <a:ext uri="{63B3BB69-23CF-44E3-9099-C40C66FF867C}">
                  <a14:compatExt spid="_x0000_s69637"/>
                </a:ext>
                <a:ext uri="{FF2B5EF4-FFF2-40B4-BE49-F238E27FC236}">
                  <a16:creationId xmlns:a16="http://schemas.microsoft.com/office/drawing/2014/main" id="{00000000-0008-0000-0B00-00000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9638" name="Check Box 6" hidden="1">
              <a:extLst>
                <a:ext uri="{63B3BB69-23CF-44E3-9099-C40C66FF867C}">
                  <a14:compatExt spid="_x0000_s69638"/>
                </a:ext>
                <a:ext uri="{FF2B5EF4-FFF2-40B4-BE49-F238E27FC236}">
                  <a16:creationId xmlns:a16="http://schemas.microsoft.com/office/drawing/2014/main" id="{00000000-0008-0000-0B00-00000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9639" name="Check Box 7" hidden="1">
              <a:extLst>
                <a:ext uri="{63B3BB69-23CF-44E3-9099-C40C66FF867C}">
                  <a14:compatExt spid="_x0000_s69639"/>
                </a:ext>
                <a:ext uri="{FF2B5EF4-FFF2-40B4-BE49-F238E27FC236}">
                  <a16:creationId xmlns:a16="http://schemas.microsoft.com/office/drawing/2014/main" id="{00000000-0008-0000-0B00-00000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9640" name="Check Box 8" hidden="1">
              <a:extLst>
                <a:ext uri="{63B3BB69-23CF-44E3-9099-C40C66FF867C}">
                  <a14:compatExt spid="_x0000_s69640"/>
                </a:ext>
                <a:ext uri="{FF2B5EF4-FFF2-40B4-BE49-F238E27FC236}">
                  <a16:creationId xmlns:a16="http://schemas.microsoft.com/office/drawing/2014/main" id="{00000000-0008-0000-0B00-00000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69641" name="Check Box 9" hidden="1">
              <a:extLst>
                <a:ext uri="{63B3BB69-23CF-44E3-9099-C40C66FF867C}">
                  <a14:compatExt spid="_x0000_s69641"/>
                </a:ext>
                <a:ext uri="{FF2B5EF4-FFF2-40B4-BE49-F238E27FC236}">
                  <a16:creationId xmlns:a16="http://schemas.microsoft.com/office/drawing/2014/main" id="{00000000-0008-0000-0B00-00000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69642" name="Check Box 10" hidden="1">
              <a:extLst>
                <a:ext uri="{63B3BB69-23CF-44E3-9099-C40C66FF867C}">
                  <a14:compatExt spid="_x0000_s69642"/>
                </a:ext>
                <a:ext uri="{FF2B5EF4-FFF2-40B4-BE49-F238E27FC236}">
                  <a16:creationId xmlns:a16="http://schemas.microsoft.com/office/drawing/2014/main" id="{00000000-0008-0000-0B00-00000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9643" name="Check Box 11" hidden="1">
              <a:extLst>
                <a:ext uri="{63B3BB69-23CF-44E3-9099-C40C66FF867C}">
                  <a14:compatExt spid="_x0000_s69643"/>
                </a:ext>
                <a:ext uri="{FF2B5EF4-FFF2-40B4-BE49-F238E27FC236}">
                  <a16:creationId xmlns:a16="http://schemas.microsoft.com/office/drawing/2014/main" id="{00000000-0008-0000-0B00-00000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9644" name="Check Box 12" hidden="1">
              <a:extLst>
                <a:ext uri="{63B3BB69-23CF-44E3-9099-C40C66FF867C}">
                  <a14:compatExt spid="_x0000_s69644"/>
                </a:ext>
                <a:ext uri="{FF2B5EF4-FFF2-40B4-BE49-F238E27FC236}">
                  <a16:creationId xmlns:a16="http://schemas.microsoft.com/office/drawing/2014/main" id="{00000000-0008-0000-0B00-00000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B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9645" name="Check Box 13" hidden="1">
              <a:extLst>
                <a:ext uri="{63B3BB69-23CF-44E3-9099-C40C66FF867C}">
                  <a14:compatExt spid="_x0000_s69645"/>
                </a:ext>
                <a:ext uri="{FF2B5EF4-FFF2-40B4-BE49-F238E27FC236}">
                  <a16:creationId xmlns:a16="http://schemas.microsoft.com/office/drawing/2014/main" id="{00000000-0008-0000-0B00-00000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9646" name="Check Box 14" hidden="1">
              <a:extLst>
                <a:ext uri="{63B3BB69-23CF-44E3-9099-C40C66FF867C}">
                  <a14:compatExt spid="_x0000_s69646"/>
                </a:ext>
                <a:ext uri="{FF2B5EF4-FFF2-40B4-BE49-F238E27FC236}">
                  <a16:creationId xmlns:a16="http://schemas.microsoft.com/office/drawing/2014/main" id="{00000000-0008-0000-0B00-00000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9647" name="Check Box 15" hidden="1">
              <a:extLst>
                <a:ext uri="{63B3BB69-23CF-44E3-9099-C40C66FF867C}">
                  <a14:compatExt spid="_x0000_s69647"/>
                </a:ext>
                <a:ext uri="{FF2B5EF4-FFF2-40B4-BE49-F238E27FC236}">
                  <a16:creationId xmlns:a16="http://schemas.microsoft.com/office/drawing/2014/main" id="{00000000-0008-0000-0B00-00000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9648" name="Check Box 16" hidden="1">
              <a:extLst>
                <a:ext uri="{63B3BB69-23CF-44E3-9099-C40C66FF867C}">
                  <a14:compatExt spid="_x0000_s69648"/>
                </a:ext>
                <a:ext uri="{FF2B5EF4-FFF2-40B4-BE49-F238E27FC236}">
                  <a16:creationId xmlns:a16="http://schemas.microsoft.com/office/drawing/2014/main" id="{00000000-0008-0000-0B00-00001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9649" name="Check Box 17" hidden="1">
              <a:extLst>
                <a:ext uri="{63B3BB69-23CF-44E3-9099-C40C66FF867C}">
                  <a14:compatExt spid="_x0000_s69649"/>
                </a:ext>
                <a:ext uri="{FF2B5EF4-FFF2-40B4-BE49-F238E27FC236}">
                  <a16:creationId xmlns:a16="http://schemas.microsoft.com/office/drawing/2014/main" id="{00000000-0008-0000-0B00-00001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9650" name="Check Box 18" hidden="1">
              <a:extLst>
                <a:ext uri="{63B3BB69-23CF-44E3-9099-C40C66FF867C}">
                  <a14:compatExt spid="_x0000_s69650"/>
                </a:ext>
                <a:ext uri="{FF2B5EF4-FFF2-40B4-BE49-F238E27FC236}">
                  <a16:creationId xmlns:a16="http://schemas.microsoft.com/office/drawing/2014/main" id="{00000000-0008-0000-0B00-00001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9651" name="Check Box 19" hidden="1">
              <a:extLst>
                <a:ext uri="{63B3BB69-23CF-44E3-9099-C40C66FF867C}">
                  <a14:compatExt spid="_x0000_s69651"/>
                </a:ext>
                <a:ext uri="{FF2B5EF4-FFF2-40B4-BE49-F238E27FC236}">
                  <a16:creationId xmlns:a16="http://schemas.microsoft.com/office/drawing/2014/main" id="{00000000-0008-0000-0B00-00001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B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D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D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0D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D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D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D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D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D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D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D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D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0D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5" name="TextBox 14">
          <a:extLst>
            <a:ext uri="{FF2B5EF4-FFF2-40B4-BE49-F238E27FC236}">
              <a16:creationId xmlns:a16="http://schemas.microsoft.com/office/drawing/2014/main" id="{00000000-0008-0000-0D00-00000F000000}"/>
            </a:ext>
          </a:extLst>
        </xdr:cNvPr>
        <xdr:cNvSpPr txBox="1"/>
      </xdr:nvSpPr>
      <xdr:spPr>
        <a:xfrm>
          <a:off x="0" y="7975787"/>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0D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0D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16412" name="Check Box 28" hidden="1">
              <a:extLst>
                <a:ext uri="{63B3BB69-23CF-44E3-9099-C40C66FF867C}">
                  <a14:compatExt spid="_x0000_s16412"/>
                </a:ext>
                <a:ext uri="{FF2B5EF4-FFF2-40B4-BE49-F238E27FC236}">
                  <a16:creationId xmlns:a16="http://schemas.microsoft.com/office/drawing/2014/main" id="{00000000-0008-0000-0D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16413" name="Check Box 29" hidden="1">
              <a:extLst>
                <a:ext uri="{63B3BB69-23CF-44E3-9099-C40C66FF867C}">
                  <a14:compatExt spid="_x0000_s16413"/>
                </a:ext>
                <a:ext uri="{FF2B5EF4-FFF2-40B4-BE49-F238E27FC236}">
                  <a16:creationId xmlns:a16="http://schemas.microsoft.com/office/drawing/2014/main" id="{00000000-0008-0000-0D00-00001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16414" name="Check Box 30" hidden="1">
              <a:extLst>
                <a:ext uri="{63B3BB69-23CF-44E3-9099-C40C66FF867C}">
                  <a14:compatExt spid="_x0000_s16414"/>
                </a:ext>
                <a:ext uri="{FF2B5EF4-FFF2-40B4-BE49-F238E27FC236}">
                  <a16:creationId xmlns:a16="http://schemas.microsoft.com/office/drawing/2014/main" id="{00000000-0008-0000-0D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16415" name="Check Box 31" hidden="1">
              <a:extLst>
                <a:ext uri="{63B3BB69-23CF-44E3-9099-C40C66FF867C}">
                  <a14:compatExt spid="_x0000_s16415"/>
                </a:ext>
                <a:ext uri="{FF2B5EF4-FFF2-40B4-BE49-F238E27FC236}">
                  <a16:creationId xmlns:a16="http://schemas.microsoft.com/office/drawing/2014/main" id="{00000000-0008-0000-0D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16416" name="Check Box 32" hidden="1">
              <a:extLst>
                <a:ext uri="{63B3BB69-23CF-44E3-9099-C40C66FF867C}">
                  <a14:compatExt spid="_x0000_s16416"/>
                </a:ext>
                <a:ext uri="{FF2B5EF4-FFF2-40B4-BE49-F238E27FC236}">
                  <a16:creationId xmlns:a16="http://schemas.microsoft.com/office/drawing/2014/main" id="{00000000-0008-0000-0D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D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0657" name="Check Box 1" hidden="1">
              <a:extLst>
                <a:ext uri="{63B3BB69-23CF-44E3-9099-C40C66FF867C}">
                  <a14:compatExt spid="_x0000_s70657"/>
                </a:ext>
                <a:ext uri="{FF2B5EF4-FFF2-40B4-BE49-F238E27FC236}">
                  <a16:creationId xmlns:a16="http://schemas.microsoft.com/office/drawing/2014/main" id="{00000000-0008-0000-0F00-00000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70658" name="Check Box 2" hidden="1">
              <a:extLst>
                <a:ext uri="{63B3BB69-23CF-44E3-9099-C40C66FF867C}">
                  <a14:compatExt spid="_x0000_s70658"/>
                </a:ext>
                <a:ext uri="{FF2B5EF4-FFF2-40B4-BE49-F238E27FC236}">
                  <a16:creationId xmlns:a16="http://schemas.microsoft.com/office/drawing/2014/main" id="{00000000-0008-0000-0F00-00000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0659" name="Check Box 3" hidden="1">
              <a:extLst>
                <a:ext uri="{63B3BB69-23CF-44E3-9099-C40C66FF867C}">
                  <a14:compatExt spid="_x0000_s70659"/>
                </a:ext>
                <a:ext uri="{FF2B5EF4-FFF2-40B4-BE49-F238E27FC236}">
                  <a16:creationId xmlns:a16="http://schemas.microsoft.com/office/drawing/2014/main" id="{00000000-0008-0000-0F00-00000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0660" name="Check Box 4" hidden="1">
              <a:extLst>
                <a:ext uri="{63B3BB69-23CF-44E3-9099-C40C66FF867C}">
                  <a14:compatExt spid="_x0000_s70660"/>
                </a:ext>
                <a:ext uri="{FF2B5EF4-FFF2-40B4-BE49-F238E27FC236}">
                  <a16:creationId xmlns:a16="http://schemas.microsoft.com/office/drawing/2014/main" id="{00000000-0008-0000-0F00-000004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0661" name="Check Box 5" hidden="1">
              <a:extLst>
                <a:ext uri="{63B3BB69-23CF-44E3-9099-C40C66FF867C}">
                  <a14:compatExt spid="_x0000_s70661"/>
                </a:ext>
                <a:ext uri="{FF2B5EF4-FFF2-40B4-BE49-F238E27FC236}">
                  <a16:creationId xmlns:a16="http://schemas.microsoft.com/office/drawing/2014/main" id="{00000000-0008-0000-0F00-000005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0662" name="Check Box 6" hidden="1">
              <a:extLst>
                <a:ext uri="{63B3BB69-23CF-44E3-9099-C40C66FF867C}">
                  <a14:compatExt spid="_x0000_s70662"/>
                </a:ext>
                <a:ext uri="{FF2B5EF4-FFF2-40B4-BE49-F238E27FC236}">
                  <a16:creationId xmlns:a16="http://schemas.microsoft.com/office/drawing/2014/main" id="{00000000-0008-0000-0F00-000006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0663" name="Check Box 7" hidden="1">
              <a:extLst>
                <a:ext uri="{63B3BB69-23CF-44E3-9099-C40C66FF867C}">
                  <a14:compatExt spid="_x0000_s70663"/>
                </a:ext>
                <a:ext uri="{FF2B5EF4-FFF2-40B4-BE49-F238E27FC236}">
                  <a16:creationId xmlns:a16="http://schemas.microsoft.com/office/drawing/2014/main" id="{00000000-0008-0000-0F00-000007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0664" name="Check Box 8" hidden="1">
              <a:extLst>
                <a:ext uri="{63B3BB69-23CF-44E3-9099-C40C66FF867C}">
                  <a14:compatExt spid="_x0000_s70664"/>
                </a:ext>
                <a:ext uri="{FF2B5EF4-FFF2-40B4-BE49-F238E27FC236}">
                  <a16:creationId xmlns:a16="http://schemas.microsoft.com/office/drawing/2014/main" id="{00000000-0008-0000-0F00-000008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70665" name="Check Box 9" hidden="1">
              <a:extLst>
                <a:ext uri="{63B3BB69-23CF-44E3-9099-C40C66FF867C}">
                  <a14:compatExt spid="_x0000_s70665"/>
                </a:ext>
                <a:ext uri="{FF2B5EF4-FFF2-40B4-BE49-F238E27FC236}">
                  <a16:creationId xmlns:a16="http://schemas.microsoft.com/office/drawing/2014/main" id="{00000000-0008-0000-0F00-000009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70666" name="Check Box 10" hidden="1">
              <a:extLst>
                <a:ext uri="{63B3BB69-23CF-44E3-9099-C40C66FF867C}">
                  <a14:compatExt spid="_x0000_s70666"/>
                </a:ext>
                <a:ext uri="{FF2B5EF4-FFF2-40B4-BE49-F238E27FC236}">
                  <a16:creationId xmlns:a16="http://schemas.microsoft.com/office/drawing/2014/main" id="{00000000-0008-0000-0F00-00000A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0667" name="Check Box 11" hidden="1">
              <a:extLst>
                <a:ext uri="{63B3BB69-23CF-44E3-9099-C40C66FF867C}">
                  <a14:compatExt spid="_x0000_s70667"/>
                </a:ext>
                <a:ext uri="{FF2B5EF4-FFF2-40B4-BE49-F238E27FC236}">
                  <a16:creationId xmlns:a16="http://schemas.microsoft.com/office/drawing/2014/main" id="{00000000-0008-0000-0F00-00000B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0668" name="Check Box 12" hidden="1">
              <a:extLst>
                <a:ext uri="{63B3BB69-23CF-44E3-9099-C40C66FF867C}">
                  <a14:compatExt spid="_x0000_s70668"/>
                </a:ext>
                <a:ext uri="{FF2B5EF4-FFF2-40B4-BE49-F238E27FC236}">
                  <a16:creationId xmlns:a16="http://schemas.microsoft.com/office/drawing/2014/main" id="{00000000-0008-0000-0F00-00000C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F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0669" name="Check Box 13" hidden="1">
              <a:extLst>
                <a:ext uri="{63B3BB69-23CF-44E3-9099-C40C66FF867C}">
                  <a14:compatExt spid="_x0000_s70669"/>
                </a:ext>
                <a:ext uri="{FF2B5EF4-FFF2-40B4-BE49-F238E27FC236}">
                  <a16:creationId xmlns:a16="http://schemas.microsoft.com/office/drawing/2014/main" id="{00000000-0008-0000-0F00-00000D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0670" name="Check Box 14" hidden="1">
              <a:extLst>
                <a:ext uri="{63B3BB69-23CF-44E3-9099-C40C66FF867C}">
                  <a14:compatExt spid="_x0000_s70670"/>
                </a:ext>
                <a:ext uri="{FF2B5EF4-FFF2-40B4-BE49-F238E27FC236}">
                  <a16:creationId xmlns:a16="http://schemas.microsoft.com/office/drawing/2014/main" id="{00000000-0008-0000-0F00-00000E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0671" name="Check Box 15" hidden="1">
              <a:extLst>
                <a:ext uri="{63B3BB69-23CF-44E3-9099-C40C66FF867C}">
                  <a14:compatExt spid="_x0000_s70671"/>
                </a:ext>
                <a:ext uri="{FF2B5EF4-FFF2-40B4-BE49-F238E27FC236}">
                  <a16:creationId xmlns:a16="http://schemas.microsoft.com/office/drawing/2014/main" id="{00000000-0008-0000-0F00-00000F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0672" name="Check Box 16" hidden="1">
              <a:extLst>
                <a:ext uri="{63B3BB69-23CF-44E3-9099-C40C66FF867C}">
                  <a14:compatExt spid="_x0000_s70672"/>
                </a:ext>
                <a:ext uri="{FF2B5EF4-FFF2-40B4-BE49-F238E27FC236}">
                  <a16:creationId xmlns:a16="http://schemas.microsoft.com/office/drawing/2014/main" id="{00000000-0008-0000-0F00-000010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0673" name="Check Box 17" hidden="1">
              <a:extLst>
                <a:ext uri="{63B3BB69-23CF-44E3-9099-C40C66FF867C}">
                  <a14:compatExt spid="_x0000_s70673"/>
                </a:ext>
                <a:ext uri="{FF2B5EF4-FFF2-40B4-BE49-F238E27FC236}">
                  <a16:creationId xmlns:a16="http://schemas.microsoft.com/office/drawing/2014/main" id="{00000000-0008-0000-0F00-00001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0674" name="Check Box 18" hidden="1">
              <a:extLst>
                <a:ext uri="{63B3BB69-23CF-44E3-9099-C40C66FF867C}">
                  <a14:compatExt spid="_x0000_s70674"/>
                </a:ext>
                <a:ext uri="{FF2B5EF4-FFF2-40B4-BE49-F238E27FC236}">
                  <a16:creationId xmlns:a16="http://schemas.microsoft.com/office/drawing/2014/main" id="{00000000-0008-0000-0F00-00001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0675" name="Check Box 19" hidden="1">
              <a:extLst>
                <a:ext uri="{63B3BB69-23CF-44E3-9099-C40C66FF867C}">
                  <a14:compatExt spid="_x0000_s70675"/>
                </a:ext>
                <a:ext uri="{FF2B5EF4-FFF2-40B4-BE49-F238E27FC236}">
                  <a16:creationId xmlns:a16="http://schemas.microsoft.com/office/drawing/2014/main" id="{00000000-0008-0000-0F00-00001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F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1681" name="Check Box 1" hidden="1">
              <a:extLst>
                <a:ext uri="{63B3BB69-23CF-44E3-9099-C40C66FF867C}">
                  <a14:compatExt spid="_x0000_s71681"/>
                </a:ext>
                <a:ext uri="{FF2B5EF4-FFF2-40B4-BE49-F238E27FC236}">
                  <a16:creationId xmlns:a16="http://schemas.microsoft.com/office/drawing/2014/main" id="{00000000-0008-0000-1100-00000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71682" name="Check Box 2" hidden="1">
              <a:extLst>
                <a:ext uri="{63B3BB69-23CF-44E3-9099-C40C66FF867C}">
                  <a14:compatExt spid="_x0000_s71682"/>
                </a:ext>
                <a:ext uri="{FF2B5EF4-FFF2-40B4-BE49-F238E27FC236}">
                  <a16:creationId xmlns:a16="http://schemas.microsoft.com/office/drawing/2014/main" id="{00000000-0008-0000-1100-00000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1683" name="Check Box 3" hidden="1">
              <a:extLst>
                <a:ext uri="{63B3BB69-23CF-44E3-9099-C40C66FF867C}">
                  <a14:compatExt spid="_x0000_s71683"/>
                </a:ext>
                <a:ext uri="{FF2B5EF4-FFF2-40B4-BE49-F238E27FC236}">
                  <a16:creationId xmlns:a16="http://schemas.microsoft.com/office/drawing/2014/main" id="{00000000-0008-0000-1100-00000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1684" name="Check Box 4" hidden="1">
              <a:extLst>
                <a:ext uri="{63B3BB69-23CF-44E3-9099-C40C66FF867C}">
                  <a14:compatExt spid="_x0000_s71684"/>
                </a:ext>
                <a:ext uri="{FF2B5EF4-FFF2-40B4-BE49-F238E27FC236}">
                  <a16:creationId xmlns:a16="http://schemas.microsoft.com/office/drawing/2014/main" id="{00000000-0008-0000-1100-000004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1685" name="Check Box 5" hidden="1">
              <a:extLst>
                <a:ext uri="{63B3BB69-23CF-44E3-9099-C40C66FF867C}">
                  <a14:compatExt spid="_x0000_s71685"/>
                </a:ext>
                <a:ext uri="{FF2B5EF4-FFF2-40B4-BE49-F238E27FC236}">
                  <a16:creationId xmlns:a16="http://schemas.microsoft.com/office/drawing/2014/main" id="{00000000-0008-0000-1100-000005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1686" name="Check Box 6" hidden="1">
              <a:extLst>
                <a:ext uri="{63B3BB69-23CF-44E3-9099-C40C66FF867C}">
                  <a14:compatExt spid="_x0000_s71686"/>
                </a:ext>
                <a:ext uri="{FF2B5EF4-FFF2-40B4-BE49-F238E27FC236}">
                  <a16:creationId xmlns:a16="http://schemas.microsoft.com/office/drawing/2014/main" id="{00000000-0008-0000-1100-000006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1687" name="Check Box 7" hidden="1">
              <a:extLst>
                <a:ext uri="{63B3BB69-23CF-44E3-9099-C40C66FF867C}">
                  <a14:compatExt spid="_x0000_s71687"/>
                </a:ext>
                <a:ext uri="{FF2B5EF4-FFF2-40B4-BE49-F238E27FC236}">
                  <a16:creationId xmlns:a16="http://schemas.microsoft.com/office/drawing/2014/main" id="{00000000-0008-0000-1100-000007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1688" name="Check Box 8" hidden="1">
              <a:extLst>
                <a:ext uri="{63B3BB69-23CF-44E3-9099-C40C66FF867C}">
                  <a14:compatExt spid="_x0000_s71688"/>
                </a:ext>
                <a:ext uri="{FF2B5EF4-FFF2-40B4-BE49-F238E27FC236}">
                  <a16:creationId xmlns:a16="http://schemas.microsoft.com/office/drawing/2014/main" id="{00000000-0008-0000-1100-000008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71689" name="Check Box 9" hidden="1">
              <a:extLst>
                <a:ext uri="{63B3BB69-23CF-44E3-9099-C40C66FF867C}">
                  <a14:compatExt spid="_x0000_s71689"/>
                </a:ext>
                <a:ext uri="{FF2B5EF4-FFF2-40B4-BE49-F238E27FC236}">
                  <a16:creationId xmlns:a16="http://schemas.microsoft.com/office/drawing/2014/main" id="{00000000-0008-0000-1100-000009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71690" name="Check Box 10" hidden="1">
              <a:extLst>
                <a:ext uri="{63B3BB69-23CF-44E3-9099-C40C66FF867C}">
                  <a14:compatExt spid="_x0000_s71690"/>
                </a:ext>
                <a:ext uri="{FF2B5EF4-FFF2-40B4-BE49-F238E27FC236}">
                  <a16:creationId xmlns:a16="http://schemas.microsoft.com/office/drawing/2014/main" id="{00000000-0008-0000-1100-00000A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1691" name="Check Box 11" hidden="1">
              <a:extLst>
                <a:ext uri="{63B3BB69-23CF-44E3-9099-C40C66FF867C}">
                  <a14:compatExt spid="_x0000_s71691"/>
                </a:ext>
                <a:ext uri="{FF2B5EF4-FFF2-40B4-BE49-F238E27FC236}">
                  <a16:creationId xmlns:a16="http://schemas.microsoft.com/office/drawing/2014/main" id="{00000000-0008-0000-1100-00000B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1692" name="Check Box 12" hidden="1">
              <a:extLst>
                <a:ext uri="{63B3BB69-23CF-44E3-9099-C40C66FF867C}">
                  <a14:compatExt spid="_x0000_s71692"/>
                </a:ext>
                <a:ext uri="{FF2B5EF4-FFF2-40B4-BE49-F238E27FC236}">
                  <a16:creationId xmlns:a16="http://schemas.microsoft.com/office/drawing/2014/main" id="{00000000-0008-0000-1100-00000C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1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1693" name="Check Box 13" hidden="1">
              <a:extLst>
                <a:ext uri="{63B3BB69-23CF-44E3-9099-C40C66FF867C}">
                  <a14:compatExt spid="_x0000_s71693"/>
                </a:ext>
                <a:ext uri="{FF2B5EF4-FFF2-40B4-BE49-F238E27FC236}">
                  <a16:creationId xmlns:a16="http://schemas.microsoft.com/office/drawing/2014/main" id="{00000000-0008-0000-1100-00000D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1694" name="Check Box 14" hidden="1">
              <a:extLst>
                <a:ext uri="{63B3BB69-23CF-44E3-9099-C40C66FF867C}">
                  <a14:compatExt spid="_x0000_s71694"/>
                </a:ext>
                <a:ext uri="{FF2B5EF4-FFF2-40B4-BE49-F238E27FC236}">
                  <a16:creationId xmlns:a16="http://schemas.microsoft.com/office/drawing/2014/main" id="{00000000-0008-0000-1100-00000E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1695" name="Check Box 15" hidden="1">
              <a:extLst>
                <a:ext uri="{63B3BB69-23CF-44E3-9099-C40C66FF867C}">
                  <a14:compatExt spid="_x0000_s71695"/>
                </a:ext>
                <a:ext uri="{FF2B5EF4-FFF2-40B4-BE49-F238E27FC236}">
                  <a16:creationId xmlns:a16="http://schemas.microsoft.com/office/drawing/2014/main" id="{00000000-0008-0000-1100-00000F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1696" name="Check Box 16" hidden="1">
              <a:extLst>
                <a:ext uri="{63B3BB69-23CF-44E3-9099-C40C66FF867C}">
                  <a14:compatExt spid="_x0000_s71696"/>
                </a:ext>
                <a:ext uri="{FF2B5EF4-FFF2-40B4-BE49-F238E27FC236}">
                  <a16:creationId xmlns:a16="http://schemas.microsoft.com/office/drawing/2014/main" id="{00000000-0008-0000-1100-000010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1697" name="Check Box 17" hidden="1">
              <a:extLst>
                <a:ext uri="{63B3BB69-23CF-44E3-9099-C40C66FF867C}">
                  <a14:compatExt spid="_x0000_s71697"/>
                </a:ext>
                <a:ext uri="{FF2B5EF4-FFF2-40B4-BE49-F238E27FC236}">
                  <a16:creationId xmlns:a16="http://schemas.microsoft.com/office/drawing/2014/main" id="{00000000-0008-0000-1100-00001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1698" name="Check Box 18" hidden="1">
              <a:extLst>
                <a:ext uri="{63B3BB69-23CF-44E3-9099-C40C66FF867C}">
                  <a14:compatExt spid="_x0000_s71698"/>
                </a:ext>
                <a:ext uri="{FF2B5EF4-FFF2-40B4-BE49-F238E27FC236}">
                  <a16:creationId xmlns:a16="http://schemas.microsoft.com/office/drawing/2014/main" id="{00000000-0008-0000-1100-00001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1699" name="Check Box 19" hidden="1">
              <a:extLst>
                <a:ext uri="{63B3BB69-23CF-44E3-9099-C40C66FF867C}">
                  <a14:compatExt spid="_x0000_s71699"/>
                </a:ext>
                <a:ext uri="{FF2B5EF4-FFF2-40B4-BE49-F238E27FC236}">
                  <a16:creationId xmlns:a16="http://schemas.microsoft.com/office/drawing/2014/main" id="{00000000-0008-0000-1100-00001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1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2705" name="Check Box 1" hidden="1">
              <a:extLst>
                <a:ext uri="{63B3BB69-23CF-44E3-9099-C40C66FF867C}">
                  <a14:compatExt spid="_x0000_s72705"/>
                </a:ext>
                <a:ext uri="{FF2B5EF4-FFF2-40B4-BE49-F238E27FC236}">
                  <a16:creationId xmlns:a16="http://schemas.microsoft.com/office/drawing/2014/main" id="{00000000-0008-0000-1400-00000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72706" name="Check Box 2" hidden="1">
              <a:extLst>
                <a:ext uri="{63B3BB69-23CF-44E3-9099-C40C66FF867C}">
                  <a14:compatExt spid="_x0000_s72706"/>
                </a:ext>
                <a:ext uri="{FF2B5EF4-FFF2-40B4-BE49-F238E27FC236}">
                  <a16:creationId xmlns:a16="http://schemas.microsoft.com/office/drawing/2014/main" id="{00000000-0008-0000-1400-00000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2707" name="Check Box 3" hidden="1">
              <a:extLst>
                <a:ext uri="{63B3BB69-23CF-44E3-9099-C40C66FF867C}">
                  <a14:compatExt spid="_x0000_s72707"/>
                </a:ext>
                <a:ext uri="{FF2B5EF4-FFF2-40B4-BE49-F238E27FC236}">
                  <a16:creationId xmlns:a16="http://schemas.microsoft.com/office/drawing/2014/main" id="{00000000-0008-0000-1400-00000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2708" name="Check Box 4" hidden="1">
              <a:extLst>
                <a:ext uri="{63B3BB69-23CF-44E3-9099-C40C66FF867C}">
                  <a14:compatExt spid="_x0000_s72708"/>
                </a:ext>
                <a:ext uri="{FF2B5EF4-FFF2-40B4-BE49-F238E27FC236}">
                  <a16:creationId xmlns:a16="http://schemas.microsoft.com/office/drawing/2014/main" id="{00000000-0008-0000-1400-000004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2709" name="Check Box 5" hidden="1">
              <a:extLst>
                <a:ext uri="{63B3BB69-23CF-44E3-9099-C40C66FF867C}">
                  <a14:compatExt spid="_x0000_s72709"/>
                </a:ext>
                <a:ext uri="{FF2B5EF4-FFF2-40B4-BE49-F238E27FC236}">
                  <a16:creationId xmlns:a16="http://schemas.microsoft.com/office/drawing/2014/main" id="{00000000-0008-0000-1400-000005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2710" name="Check Box 6" hidden="1">
              <a:extLst>
                <a:ext uri="{63B3BB69-23CF-44E3-9099-C40C66FF867C}">
                  <a14:compatExt spid="_x0000_s72710"/>
                </a:ext>
                <a:ext uri="{FF2B5EF4-FFF2-40B4-BE49-F238E27FC236}">
                  <a16:creationId xmlns:a16="http://schemas.microsoft.com/office/drawing/2014/main" id="{00000000-0008-0000-1400-000006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2711" name="Check Box 7" hidden="1">
              <a:extLst>
                <a:ext uri="{63B3BB69-23CF-44E3-9099-C40C66FF867C}">
                  <a14:compatExt spid="_x0000_s72711"/>
                </a:ext>
                <a:ext uri="{FF2B5EF4-FFF2-40B4-BE49-F238E27FC236}">
                  <a16:creationId xmlns:a16="http://schemas.microsoft.com/office/drawing/2014/main" id="{00000000-0008-0000-1400-000007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2712" name="Check Box 8" hidden="1">
              <a:extLst>
                <a:ext uri="{63B3BB69-23CF-44E3-9099-C40C66FF867C}">
                  <a14:compatExt spid="_x0000_s72712"/>
                </a:ext>
                <a:ext uri="{FF2B5EF4-FFF2-40B4-BE49-F238E27FC236}">
                  <a16:creationId xmlns:a16="http://schemas.microsoft.com/office/drawing/2014/main" id="{00000000-0008-0000-1400-000008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72713" name="Check Box 9" hidden="1">
              <a:extLst>
                <a:ext uri="{63B3BB69-23CF-44E3-9099-C40C66FF867C}">
                  <a14:compatExt spid="_x0000_s72713"/>
                </a:ext>
                <a:ext uri="{FF2B5EF4-FFF2-40B4-BE49-F238E27FC236}">
                  <a16:creationId xmlns:a16="http://schemas.microsoft.com/office/drawing/2014/main" id="{00000000-0008-0000-1400-000009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72714" name="Check Box 10" hidden="1">
              <a:extLst>
                <a:ext uri="{63B3BB69-23CF-44E3-9099-C40C66FF867C}">
                  <a14:compatExt spid="_x0000_s72714"/>
                </a:ext>
                <a:ext uri="{FF2B5EF4-FFF2-40B4-BE49-F238E27FC236}">
                  <a16:creationId xmlns:a16="http://schemas.microsoft.com/office/drawing/2014/main" id="{00000000-0008-0000-1400-00000A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2715" name="Check Box 11" hidden="1">
              <a:extLst>
                <a:ext uri="{63B3BB69-23CF-44E3-9099-C40C66FF867C}">
                  <a14:compatExt spid="_x0000_s72715"/>
                </a:ext>
                <a:ext uri="{FF2B5EF4-FFF2-40B4-BE49-F238E27FC236}">
                  <a16:creationId xmlns:a16="http://schemas.microsoft.com/office/drawing/2014/main" id="{00000000-0008-0000-1400-00000B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2716" name="Check Box 12" hidden="1">
              <a:extLst>
                <a:ext uri="{63B3BB69-23CF-44E3-9099-C40C66FF867C}">
                  <a14:compatExt spid="_x0000_s72716"/>
                </a:ext>
                <a:ext uri="{FF2B5EF4-FFF2-40B4-BE49-F238E27FC236}">
                  <a16:creationId xmlns:a16="http://schemas.microsoft.com/office/drawing/2014/main" id="{00000000-0008-0000-1400-00000C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4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2717" name="Check Box 13" hidden="1">
              <a:extLst>
                <a:ext uri="{63B3BB69-23CF-44E3-9099-C40C66FF867C}">
                  <a14:compatExt spid="_x0000_s72717"/>
                </a:ext>
                <a:ext uri="{FF2B5EF4-FFF2-40B4-BE49-F238E27FC236}">
                  <a16:creationId xmlns:a16="http://schemas.microsoft.com/office/drawing/2014/main" id="{00000000-0008-0000-1400-00000D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2718" name="Check Box 14" hidden="1">
              <a:extLst>
                <a:ext uri="{63B3BB69-23CF-44E3-9099-C40C66FF867C}">
                  <a14:compatExt spid="_x0000_s72718"/>
                </a:ext>
                <a:ext uri="{FF2B5EF4-FFF2-40B4-BE49-F238E27FC236}">
                  <a16:creationId xmlns:a16="http://schemas.microsoft.com/office/drawing/2014/main" id="{00000000-0008-0000-1400-00000E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2719" name="Check Box 15" hidden="1">
              <a:extLst>
                <a:ext uri="{63B3BB69-23CF-44E3-9099-C40C66FF867C}">
                  <a14:compatExt spid="_x0000_s72719"/>
                </a:ext>
                <a:ext uri="{FF2B5EF4-FFF2-40B4-BE49-F238E27FC236}">
                  <a16:creationId xmlns:a16="http://schemas.microsoft.com/office/drawing/2014/main" id="{00000000-0008-0000-1400-00000F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2720" name="Check Box 16" hidden="1">
              <a:extLst>
                <a:ext uri="{63B3BB69-23CF-44E3-9099-C40C66FF867C}">
                  <a14:compatExt spid="_x0000_s72720"/>
                </a:ext>
                <a:ext uri="{FF2B5EF4-FFF2-40B4-BE49-F238E27FC236}">
                  <a16:creationId xmlns:a16="http://schemas.microsoft.com/office/drawing/2014/main" id="{00000000-0008-0000-1400-000010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2721" name="Check Box 17" hidden="1">
              <a:extLst>
                <a:ext uri="{63B3BB69-23CF-44E3-9099-C40C66FF867C}">
                  <a14:compatExt spid="_x0000_s72721"/>
                </a:ext>
                <a:ext uri="{FF2B5EF4-FFF2-40B4-BE49-F238E27FC236}">
                  <a16:creationId xmlns:a16="http://schemas.microsoft.com/office/drawing/2014/main" id="{00000000-0008-0000-1400-00001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2722" name="Check Box 18" hidden="1">
              <a:extLst>
                <a:ext uri="{63B3BB69-23CF-44E3-9099-C40C66FF867C}">
                  <a14:compatExt spid="_x0000_s72722"/>
                </a:ext>
                <a:ext uri="{FF2B5EF4-FFF2-40B4-BE49-F238E27FC236}">
                  <a16:creationId xmlns:a16="http://schemas.microsoft.com/office/drawing/2014/main" id="{00000000-0008-0000-1400-00001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2723" name="Check Box 19" hidden="1">
              <a:extLst>
                <a:ext uri="{63B3BB69-23CF-44E3-9099-C40C66FF867C}">
                  <a14:compatExt spid="_x0000_s72723"/>
                </a:ext>
                <a:ext uri="{FF2B5EF4-FFF2-40B4-BE49-F238E27FC236}">
                  <a16:creationId xmlns:a16="http://schemas.microsoft.com/office/drawing/2014/main" id="{00000000-0008-0000-1400-00001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4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3729" name="Check Box 1" hidden="1">
              <a:extLst>
                <a:ext uri="{63B3BB69-23CF-44E3-9099-C40C66FF867C}">
                  <a14:compatExt spid="_x0000_s73729"/>
                </a:ext>
                <a:ext uri="{FF2B5EF4-FFF2-40B4-BE49-F238E27FC236}">
                  <a16:creationId xmlns:a16="http://schemas.microsoft.com/office/drawing/2014/main" id="{00000000-0008-0000-1600-00000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73730" name="Check Box 2" hidden="1">
              <a:extLst>
                <a:ext uri="{63B3BB69-23CF-44E3-9099-C40C66FF867C}">
                  <a14:compatExt spid="_x0000_s73730"/>
                </a:ext>
                <a:ext uri="{FF2B5EF4-FFF2-40B4-BE49-F238E27FC236}">
                  <a16:creationId xmlns:a16="http://schemas.microsoft.com/office/drawing/2014/main" id="{00000000-0008-0000-1600-00000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3731" name="Check Box 3" hidden="1">
              <a:extLst>
                <a:ext uri="{63B3BB69-23CF-44E3-9099-C40C66FF867C}">
                  <a14:compatExt spid="_x0000_s73731"/>
                </a:ext>
                <a:ext uri="{FF2B5EF4-FFF2-40B4-BE49-F238E27FC236}">
                  <a16:creationId xmlns:a16="http://schemas.microsoft.com/office/drawing/2014/main" id="{00000000-0008-0000-1600-00000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3732" name="Check Box 4" hidden="1">
              <a:extLst>
                <a:ext uri="{63B3BB69-23CF-44E3-9099-C40C66FF867C}">
                  <a14:compatExt spid="_x0000_s73732"/>
                </a:ext>
                <a:ext uri="{FF2B5EF4-FFF2-40B4-BE49-F238E27FC236}">
                  <a16:creationId xmlns:a16="http://schemas.microsoft.com/office/drawing/2014/main" id="{00000000-0008-0000-1600-00000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3733" name="Check Box 5" hidden="1">
              <a:extLst>
                <a:ext uri="{63B3BB69-23CF-44E3-9099-C40C66FF867C}">
                  <a14:compatExt spid="_x0000_s73733"/>
                </a:ext>
                <a:ext uri="{FF2B5EF4-FFF2-40B4-BE49-F238E27FC236}">
                  <a16:creationId xmlns:a16="http://schemas.microsoft.com/office/drawing/2014/main" id="{00000000-0008-0000-1600-00000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3734" name="Check Box 6" hidden="1">
              <a:extLst>
                <a:ext uri="{63B3BB69-23CF-44E3-9099-C40C66FF867C}">
                  <a14:compatExt spid="_x0000_s73734"/>
                </a:ext>
                <a:ext uri="{FF2B5EF4-FFF2-40B4-BE49-F238E27FC236}">
                  <a16:creationId xmlns:a16="http://schemas.microsoft.com/office/drawing/2014/main" id="{00000000-0008-0000-1600-00000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3735" name="Check Box 7" hidden="1">
              <a:extLst>
                <a:ext uri="{63B3BB69-23CF-44E3-9099-C40C66FF867C}">
                  <a14:compatExt spid="_x0000_s73735"/>
                </a:ext>
                <a:ext uri="{FF2B5EF4-FFF2-40B4-BE49-F238E27FC236}">
                  <a16:creationId xmlns:a16="http://schemas.microsoft.com/office/drawing/2014/main" id="{00000000-0008-0000-1600-00000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3736" name="Check Box 8" hidden="1">
              <a:extLst>
                <a:ext uri="{63B3BB69-23CF-44E3-9099-C40C66FF867C}">
                  <a14:compatExt spid="_x0000_s73736"/>
                </a:ext>
                <a:ext uri="{FF2B5EF4-FFF2-40B4-BE49-F238E27FC236}">
                  <a16:creationId xmlns:a16="http://schemas.microsoft.com/office/drawing/2014/main" id="{00000000-0008-0000-1600-00000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73737" name="Check Box 9" hidden="1">
              <a:extLst>
                <a:ext uri="{63B3BB69-23CF-44E3-9099-C40C66FF867C}">
                  <a14:compatExt spid="_x0000_s73737"/>
                </a:ext>
                <a:ext uri="{FF2B5EF4-FFF2-40B4-BE49-F238E27FC236}">
                  <a16:creationId xmlns:a16="http://schemas.microsoft.com/office/drawing/2014/main" id="{00000000-0008-0000-1600-00000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73738" name="Check Box 10" hidden="1">
              <a:extLst>
                <a:ext uri="{63B3BB69-23CF-44E3-9099-C40C66FF867C}">
                  <a14:compatExt spid="_x0000_s73738"/>
                </a:ext>
                <a:ext uri="{FF2B5EF4-FFF2-40B4-BE49-F238E27FC236}">
                  <a16:creationId xmlns:a16="http://schemas.microsoft.com/office/drawing/2014/main" id="{00000000-0008-0000-1600-00000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3739" name="Check Box 11" hidden="1">
              <a:extLst>
                <a:ext uri="{63B3BB69-23CF-44E3-9099-C40C66FF867C}">
                  <a14:compatExt spid="_x0000_s73739"/>
                </a:ext>
                <a:ext uri="{FF2B5EF4-FFF2-40B4-BE49-F238E27FC236}">
                  <a16:creationId xmlns:a16="http://schemas.microsoft.com/office/drawing/2014/main" id="{00000000-0008-0000-1600-00000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3740" name="Check Box 12" hidden="1">
              <a:extLst>
                <a:ext uri="{63B3BB69-23CF-44E3-9099-C40C66FF867C}">
                  <a14:compatExt spid="_x0000_s73740"/>
                </a:ext>
                <a:ext uri="{FF2B5EF4-FFF2-40B4-BE49-F238E27FC236}">
                  <a16:creationId xmlns:a16="http://schemas.microsoft.com/office/drawing/2014/main" id="{00000000-0008-0000-1600-00000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6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3741" name="Check Box 13" hidden="1">
              <a:extLst>
                <a:ext uri="{63B3BB69-23CF-44E3-9099-C40C66FF867C}">
                  <a14:compatExt spid="_x0000_s73741"/>
                </a:ext>
                <a:ext uri="{FF2B5EF4-FFF2-40B4-BE49-F238E27FC236}">
                  <a16:creationId xmlns:a16="http://schemas.microsoft.com/office/drawing/2014/main" id="{00000000-0008-0000-1600-00000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3742" name="Check Box 14" hidden="1">
              <a:extLst>
                <a:ext uri="{63B3BB69-23CF-44E3-9099-C40C66FF867C}">
                  <a14:compatExt spid="_x0000_s73742"/>
                </a:ext>
                <a:ext uri="{FF2B5EF4-FFF2-40B4-BE49-F238E27FC236}">
                  <a16:creationId xmlns:a16="http://schemas.microsoft.com/office/drawing/2014/main" id="{00000000-0008-0000-1600-00000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3743" name="Check Box 15" hidden="1">
              <a:extLst>
                <a:ext uri="{63B3BB69-23CF-44E3-9099-C40C66FF867C}">
                  <a14:compatExt spid="_x0000_s73743"/>
                </a:ext>
                <a:ext uri="{FF2B5EF4-FFF2-40B4-BE49-F238E27FC236}">
                  <a16:creationId xmlns:a16="http://schemas.microsoft.com/office/drawing/2014/main" id="{00000000-0008-0000-1600-00000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3744" name="Check Box 16" hidden="1">
              <a:extLst>
                <a:ext uri="{63B3BB69-23CF-44E3-9099-C40C66FF867C}">
                  <a14:compatExt spid="_x0000_s73744"/>
                </a:ext>
                <a:ext uri="{FF2B5EF4-FFF2-40B4-BE49-F238E27FC236}">
                  <a16:creationId xmlns:a16="http://schemas.microsoft.com/office/drawing/2014/main" id="{00000000-0008-0000-1600-00001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3745" name="Check Box 17" hidden="1">
              <a:extLst>
                <a:ext uri="{63B3BB69-23CF-44E3-9099-C40C66FF867C}">
                  <a14:compatExt spid="_x0000_s73745"/>
                </a:ext>
                <a:ext uri="{FF2B5EF4-FFF2-40B4-BE49-F238E27FC236}">
                  <a16:creationId xmlns:a16="http://schemas.microsoft.com/office/drawing/2014/main" id="{00000000-0008-0000-1600-00001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3746" name="Check Box 18" hidden="1">
              <a:extLst>
                <a:ext uri="{63B3BB69-23CF-44E3-9099-C40C66FF867C}">
                  <a14:compatExt spid="_x0000_s73746"/>
                </a:ext>
                <a:ext uri="{FF2B5EF4-FFF2-40B4-BE49-F238E27FC236}">
                  <a16:creationId xmlns:a16="http://schemas.microsoft.com/office/drawing/2014/main" id="{00000000-0008-0000-1600-00001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3747" name="Check Box 19" hidden="1">
              <a:extLst>
                <a:ext uri="{63B3BB69-23CF-44E3-9099-C40C66FF867C}">
                  <a14:compatExt spid="_x0000_s73747"/>
                </a:ext>
                <a:ext uri="{FF2B5EF4-FFF2-40B4-BE49-F238E27FC236}">
                  <a16:creationId xmlns:a16="http://schemas.microsoft.com/office/drawing/2014/main" id="{00000000-0008-0000-1600-00001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6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15</xdr:row>
          <xdr:rowOff>0</xdr:rowOff>
        </xdr:from>
        <xdr:to>
          <xdr:col>21</xdr:col>
          <xdr:colOff>298450</xdr:colOff>
          <xdr:row>16</xdr:row>
          <xdr:rowOff>63500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7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16</xdr:row>
          <xdr:rowOff>190500</xdr:rowOff>
        </xdr:from>
        <xdr:to>
          <xdr:col>21</xdr:col>
          <xdr:colOff>298450</xdr:colOff>
          <xdr:row>18</xdr:row>
          <xdr:rowOff>38100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7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21</xdr:row>
          <xdr:rowOff>0</xdr:rowOff>
        </xdr:from>
        <xdr:to>
          <xdr:col>21</xdr:col>
          <xdr:colOff>292100</xdr:colOff>
          <xdr:row>22</xdr:row>
          <xdr:rowOff>63500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7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22</xdr:row>
          <xdr:rowOff>190500</xdr:rowOff>
        </xdr:from>
        <xdr:to>
          <xdr:col>21</xdr:col>
          <xdr:colOff>292100</xdr:colOff>
          <xdr:row>24</xdr:row>
          <xdr:rowOff>38100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7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27</xdr:row>
          <xdr:rowOff>0</xdr:rowOff>
        </xdr:from>
        <xdr:to>
          <xdr:col>21</xdr:col>
          <xdr:colOff>292100</xdr:colOff>
          <xdr:row>28</xdr:row>
          <xdr:rowOff>63500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17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28</xdr:row>
          <xdr:rowOff>190500</xdr:rowOff>
        </xdr:from>
        <xdr:to>
          <xdr:col>21</xdr:col>
          <xdr:colOff>292100</xdr:colOff>
          <xdr:row>30</xdr:row>
          <xdr:rowOff>38100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17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4753" name="Check Box 1" hidden="1">
              <a:extLst>
                <a:ext uri="{63B3BB69-23CF-44E3-9099-C40C66FF867C}">
                  <a14:compatExt spid="_x0000_s74753"/>
                </a:ext>
                <a:ext uri="{FF2B5EF4-FFF2-40B4-BE49-F238E27FC236}">
                  <a16:creationId xmlns:a16="http://schemas.microsoft.com/office/drawing/2014/main" id="{00000000-0008-0000-1800-00000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11</xdr:col>
          <xdr:colOff>298450</xdr:colOff>
          <xdr:row>36</xdr:row>
          <xdr:rowOff>12700</xdr:rowOff>
        </xdr:to>
        <xdr:sp macro="" textlink="">
          <xdr:nvSpPr>
            <xdr:cNvPr id="74754" name="Check Box 2" hidden="1">
              <a:extLst>
                <a:ext uri="{63B3BB69-23CF-44E3-9099-C40C66FF867C}">
                  <a14:compatExt spid="_x0000_s74754"/>
                </a:ext>
                <a:ext uri="{FF2B5EF4-FFF2-40B4-BE49-F238E27FC236}">
                  <a16:creationId xmlns:a16="http://schemas.microsoft.com/office/drawing/2014/main" id="{00000000-0008-0000-1800-00000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4755" name="Check Box 3" hidden="1">
              <a:extLst>
                <a:ext uri="{63B3BB69-23CF-44E3-9099-C40C66FF867C}">
                  <a14:compatExt spid="_x0000_s74755"/>
                </a:ext>
                <a:ext uri="{FF2B5EF4-FFF2-40B4-BE49-F238E27FC236}">
                  <a16:creationId xmlns:a16="http://schemas.microsoft.com/office/drawing/2014/main" id="{00000000-0008-0000-1800-00000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4756" name="Check Box 4" hidden="1">
              <a:extLst>
                <a:ext uri="{63B3BB69-23CF-44E3-9099-C40C66FF867C}">
                  <a14:compatExt spid="_x0000_s74756"/>
                </a:ext>
                <a:ext uri="{FF2B5EF4-FFF2-40B4-BE49-F238E27FC236}">
                  <a16:creationId xmlns:a16="http://schemas.microsoft.com/office/drawing/2014/main" id="{00000000-0008-0000-1800-000004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4757" name="Check Box 5" hidden="1">
              <a:extLst>
                <a:ext uri="{63B3BB69-23CF-44E3-9099-C40C66FF867C}">
                  <a14:compatExt spid="_x0000_s74757"/>
                </a:ext>
                <a:ext uri="{FF2B5EF4-FFF2-40B4-BE49-F238E27FC236}">
                  <a16:creationId xmlns:a16="http://schemas.microsoft.com/office/drawing/2014/main" id="{00000000-0008-0000-1800-000005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4758" name="Check Box 6" hidden="1">
              <a:extLst>
                <a:ext uri="{63B3BB69-23CF-44E3-9099-C40C66FF867C}">
                  <a14:compatExt spid="_x0000_s74758"/>
                </a:ext>
                <a:ext uri="{FF2B5EF4-FFF2-40B4-BE49-F238E27FC236}">
                  <a16:creationId xmlns:a16="http://schemas.microsoft.com/office/drawing/2014/main" id="{00000000-0008-0000-1800-000006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4759" name="Check Box 7" hidden="1">
              <a:extLst>
                <a:ext uri="{63B3BB69-23CF-44E3-9099-C40C66FF867C}">
                  <a14:compatExt spid="_x0000_s74759"/>
                </a:ext>
                <a:ext uri="{FF2B5EF4-FFF2-40B4-BE49-F238E27FC236}">
                  <a16:creationId xmlns:a16="http://schemas.microsoft.com/office/drawing/2014/main" id="{00000000-0008-0000-1800-000007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4760" name="Check Box 8" hidden="1">
              <a:extLst>
                <a:ext uri="{63B3BB69-23CF-44E3-9099-C40C66FF867C}">
                  <a14:compatExt spid="_x0000_s74760"/>
                </a:ext>
                <a:ext uri="{FF2B5EF4-FFF2-40B4-BE49-F238E27FC236}">
                  <a16:creationId xmlns:a16="http://schemas.microsoft.com/office/drawing/2014/main" id="{00000000-0008-0000-1800-000008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215900</xdr:colOff>
          <xdr:row>89</xdr:row>
          <xdr:rowOff>12700</xdr:rowOff>
        </xdr:to>
        <xdr:sp macro="" textlink="">
          <xdr:nvSpPr>
            <xdr:cNvPr id="74761" name="Check Box 9" hidden="1">
              <a:extLst>
                <a:ext uri="{63B3BB69-23CF-44E3-9099-C40C66FF867C}">
                  <a14:compatExt spid="_x0000_s74761"/>
                </a:ext>
                <a:ext uri="{FF2B5EF4-FFF2-40B4-BE49-F238E27FC236}">
                  <a16:creationId xmlns:a16="http://schemas.microsoft.com/office/drawing/2014/main" id="{00000000-0008-0000-1800-000009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16</xdr:col>
          <xdr:colOff>355600</xdr:colOff>
          <xdr:row>89</xdr:row>
          <xdr:rowOff>25400</xdr:rowOff>
        </xdr:to>
        <xdr:sp macro="" textlink="">
          <xdr:nvSpPr>
            <xdr:cNvPr id="74762" name="Check Box 10" hidden="1">
              <a:extLst>
                <a:ext uri="{63B3BB69-23CF-44E3-9099-C40C66FF867C}">
                  <a14:compatExt spid="_x0000_s74762"/>
                </a:ext>
                <a:ext uri="{FF2B5EF4-FFF2-40B4-BE49-F238E27FC236}">
                  <a16:creationId xmlns:a16="http://schemas.microsoft.com/office/drawing/2014/main" id="{00000000-0008-0000-1800-00000A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4763" name="Check Box 11" hidden="1">
              <a:extLst>
                <a:ext uri="{63B3BB69-23CF-44E3-9099-C40C66FF867C}">
                  <a14:compatExt spid="_x0000_s74763"/>
                </a:ext>
                <a:ext uri="{FF2B5EF4-FFF2-40B4-BE49-F238E27FC236}">
                  <a16:creationId xmlns:a16="http://schemas.microsoft.com/office/drawing/2014/main" id="{00000000-0008-0000-1800-00000B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4764" name="Check Box 12" hidden="1">
              <a:extLst>
                <a:ext uri="{63B3BB69-23CF-44E3-9099-C40C66FF867C}">
                  <a14:compatExt spid="_x0000_s74764"/>
                </a:ext>
                <a:ext uri="{FF2B5EF4-FFF2-40B4-BE49-F238E27FC236}">
                  <a16:creationId xmlns:a16="http://schemas.microsoft.com/office/drawing/2014/main" id="{00000000-0008-0000-1800-00000C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4765" name="Check Box 13" hidden="1">
              <a:extLst>
                <a:ext uri="{63B3BB69-23CF-44E3-9099-C40C66FF867C}">
                  <a14:compatExt spid="_x0000_s74765"/>
                </a:ext>
                <a:ext uri="{FF2B5EF4-FFF2-40B4-BE49-F238E27FC236}">
                  <a16:creationId xmlns:a16="http://schemas.microsoft.com/office/drawing/2014/main" id="{00000000-0008-0000-1800-00000D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4766" name="Check Box 14" hidden="1">
              <a:extLst>
                <a:ext uri="{63B3BB69-23CF-44E3-9099-C40C66FF867C}">
                  <a14:compatExt spid="_x0000_s74766"/>
                </a:ext>
                <a:ext uri="{FF2B5EF4-FFF2-40B4-BE49-F238E27FC236}">
                  <a16:creationId xmlns:a16="http://schemas.microsoft.com/office/drawing/2014/main" id="{00000000-0008-0000-1800-00000E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4767" name="Check Box 15" hidden="1">
              <a:extLst>
                <a:ext uri="{63B3BB69-23CF-44E3-9099-C40C66FF867C}">
                  <a14:compatExt spid="_x0000_s74767"/>
                </a:ext>
                <a:ext uri="{FF2B5EF4-FFF2-40B4-BE49-F238E27FC236}">
                  <a16:creationId xmlns:a16="http://schemas.microsoft.com/office/drawing/2014/main" id="{00000000-0008-0000-1800-00000F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4768" name="Check Box 16" hidden="1">
              <a:extLst>
                <a:ext uri="{63B3BB69-23CF-44E3-9099-C40C66FF867C}">
                  <a14:compatExt spid="_x0000_s74768"/>
                </a:ext>
                <a:ext uri="{FF2B5EF4-FFF2-40B4-BE49-F238E27FC236}">
                  <a16:creationId xmlns:a16="http://schemas.microsoft.com/office/drawing/2014/main" id="{00000000-0008-0000-1800-000010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4769" name="Check Box 17" hidden="1">
              <a:extLst>
                <a:ext uri="{63B3BB69-23CF-44E3-9099-C40C66FF867C}">
                  <a14:compatExt spid="_x0000_s74769"/>
                </a:ext>
                <a:ext uri="{FF2B5EF4-FFF2-40B4-BE49-F238E27FC236}">
                  <a16:creationId xmlns:a16="http://schemas.microsoft.com/office/drawing/2014/main" id="{00000000-0008-0000-1800-00001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4770" name="Check Box 18" hidden="1">
              <a:extLst>
                <a:ext uri="{63B3BB69-23CF-44E3-9099-C40C66FF867C}">
                  <a14:compatExt spid="_x0000_s74770"/>
                </a:ext>
                <a:ext uri="{FF2B5EF4-FFF2-40B4-BE49-F238E27FC236}">
                  <a16:creationId xmlns:a16="http://schemas.microsoft.com/office/drawing/2014/main" id="{00000000-0008-0000-1800-00001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4771" name="Check Box 19" hidden="1">
              <a:extLst>
                <a:ext uri="{63B3BB69-23CF-44E3-9099-C40C66FF867C}">
                  <a14:compatExt spid="_x0000_s74771"/>
                </a:ext>
                <a:ext uri="{FF2B5EF4-FFF2-40B4-BE49-F238E27FC236}">
                  <a16:creationId xmlns:a16="http://schemas.microsoft.com/office/drawing/2014/main" id="{00000000-0008-0000-1800-00001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8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ee%20Comm%20Developers/Desktop/Automated%20Package%20Computation_Step%20up/SAMPLE%20PACKAGE%20COMPUTATION_HPR%20TOWER%201_09.21.20%20updated%20step%20up.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d Turn over date"/>
      <sheetName val="INTERNAL PRICELIST"/>
      <sheetName val="T1_Pricelist Link"/>
      <sheetName val="FORM"/>
      <sheetName val="STEP UP"/>
      <sheetName val="RA_STEPUP"/>
      <sheetName val="STANDARD COMP."/>
      <sheetName val="RA_Standard"/>
      <sheetName val="SPOT EQUITY_7DAYS"/>
      <sheetName val="RA_SE7D"/>
      <sheetName val="SPOT EQUITY_30DAYS"/>
      <sheetName val="RA_SE30D"/>
      <sheetName val="SPOT CASH_30 DAYS"/>
      <sheetName val="RA_SC30D"/>
      <sheetName val="SPOT CASH_60 DAYS"/>
      <sheetName val="RA_SC60D"/>
      <sheetName val="DEFERRED"/>
      <sheetName val="RA_DEFERRED"/>
      <sheetName val="SPECIAL PACKAGE"/>
      <sheetName val="RA_SPECIAL"/>
      <sheetName val="Docs Req"/>
    </sheetNames>
    <sheetDataSet>
      <sheetData sheetId="0"/>
      <sheetData sheetId="1"/>
      <sheetData sheetId="2"/>
      <sheetData sheetId="3">
        <row r="11">
          <cell r="I11" t="str">
            <v>HARBOUR PARK RESIDENCES</v>
          </cell>
        </row>
        <row r="14">
          <cell r="I14" t="str">
            <v>TOWER 1</v>
          </cell>
        </row>
      </sheetData>
      <sheetData sheetId="4"/>
      <sheetData sheetId="5"/>
      <sheetData sheetId="6"/>
      <sheetData sheetId="7">
        <row r="95">
          <cell r="A95" t="str">
            <v>Brokerage/Realty</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5.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8.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5.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10.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5" Type="http://schemas.openxmlformats.org/officeDocument/2006/relationships/ctrlProp" Target="../ctrlProps/ctrlProp31.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3" Type="http://schemas.openxmlformats.org/officeDocument/2006/relationships/vmlDrawing" Target="../drawings/vmlDrawing9.vml"/><Relationship Id="rId21" Type="http://schemas.openxmlformats.org/officeDocument/2006/relationships/ctrlProp" Target="../ctrlProps/ctrlProp56.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trlProp" Target="../ctrlProps/ctrlProp51.xml"/><Relationship Id="rId20" Type="http://schemas.openxmlformats.org/officeDocument/2006/relationships/ctrlProp" Target="../ctrlProps/ctrlProp55.xml"/><Relationship Id="rId1" Type="http://schemas.openxmlformats.org/officeDocument/2006/relationships/printerSettings" Target="../printerSettings/printerSettings12.bin"/><Relationship Id="rId6" Type="http://schemas.openxmlformats.org/officeDocument/2006/relationships/ctrlProp" Target="../ctrlProps/ctrlProp41.xml"/><Relationship Id="rId11" Type="http://schemas.openxmlformats.org/officeDocument/2006/relationships/ctrlProp" Target="../ctrlProps/ctrlProp46.xml"/><Relationship Id="rId5" Type="http://schemas.openxmlformats.org/officeDocument/2006/relationships/ctrlProp" Target="../ctrlProps/ctrlProp40.xml"/><Relationship Id="rId15" Type="http://schemas.openxmlformats.org/officeDocument/2006/relationships/ctrlProp" Target="../ctrlProps/ctrlProp50.xml"/><Relationship Id="rId10" Type="http://schemas.openxmlformats.org/officeDocument/2006/relationships/ctrlProp" Target="../ctrlProps/ctrlProp45.xml"/><Relationship Id="rId19" Type="http://schemas.openxmlformats.org/officeDocument/2006/relationships/ctrlProp" Target="../ctrlProps/ctrlProp54.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8" Type="http://schemas.openxmlformats.org/officeDocument/2006/relationships/ctrlProp" Target="../ctrlProps/ctrlProp62.xml"/><Relationship Id="rId13" Type="http://schemas.openxmlformats.org/officeDocument/2006/relationships/ctrlProp" Target="../ctrlProps/ctrlProp67.xml"/><Relationship Id="rId18" Type="http://schemas.openxmlformats.org/officeDocument/2006/relationships/ctrlProp" Target="../ctrlProps/ctrlProp72.xml"/><Relationship Id="rId3" Type="http://schemas.openxmlformats.org/officeDocument/2006/relationships/vmlDrawing" Target="../drawings/vmlDrawing10.vml"/><Relationship Id="rId21" Type="http://schemas.openxmlformats.org/officeDocument/2006/relationships/ctrlProp" Target="../ctrlProps/ctrlProp75.xml"/><Relationship Id="rId7" Type="http://schemas.openxmlformats.org/officeDocument/2006/relationships/ctrlProp" Target="../ctrlProps/ctrlProp61.xml"/><Relationship Id="rId12" Type="http://schemas.openxmlformats.org/officeDocument/2006/relationships/ctrlProp" Target="../ctrlProps/ctrlProp66.xml"/><Relationship Id="rId17" Type="http://schemas.openxmlformats.org/officeDocument/2006/relationships/ctrlProp" Target="../ctrlProps/ctrlProp71.xml"/><Relationship Id="rId2" Type="http://schemas.openxmlformats.org/officeDocument/2006/relationships/drawing" Target="../drawings/drawing7.xml"/><Relationship Id="rId16" Type="http://schemas.openxmlformats.org/officeDocument/2006/relationships/ctrlProp" Target="../ctrlProps/ctrlProp70.xml"/><Relationship Id="rId20" Type="http://schemas.openxmlformats.org/officeDocument/2006/relationships/ctrlProp" Target="../ctrlProps/ctrlProp74.xml"/><Relationship Id="rId1" Type="http://schemas.openxmlformats.org/officeDocument/2006/relationships/printerSettings" Target="../printerSettings/printerSettings14.bin"/><Relationship Id="rId6" Type="http://schemas.openxmlformats.org/officeDocument/2006/relationships/ctrlProp" Target="../ctrlProps/ctrlProp60.xml"/><Relationship Id="rId11" Type="http://schemas.openxmlformats.org/officeDocument/2006/relationships/ctrlProp" Target="../ctrlProps/ctrlProp65.xml"/><Relationship Id="rId5" Type="http://schemas.openxmlformats.org/officeDocument/2006/relationships/ctrlProp" Target="../ctrlProps/ctrlProp59.xml"/><Relationship Id="rId15" Type="http://schemas.openxmlformats.org/officeDocument/2006/relationships/ctrlProp" Target="../ctrlProps/ctrlProp69.xml"/><Relationship Id="rId10" Type="http://schemas.openxmlformats.org/officeDocument/2006/relationships/ctrlProp" Target="../ctrlProps/ctrlProp64.xml"/><Relationship Id="rId19" Type="http://schemas.openxmlformats.org/officeDocument/2006/relationships/ctrlProp" Target="../ctrlProps/ctrlProp73.xml"/><Relationship Id="rId4" Type="http://schemas.openxmlformats.org/officeDocument/2006/relationships/ctrlProp" Target="../ctrlProps/ctrlProp58.xml"/><Relationship Id="rId9" Type="http://schemas.openxmlformats.org/officeDocument/2006/relationships/ctrlProp" Target="../ctrlProps/ctrlProp63.xml"/><Relationship Id="rId14" Type="http://schemas.openxmlformats.org/officeDocument/2006/relationships/ctrlProp" Target="../ctrlProps/ctrlProp68.xml"/><Relationship Id="rId22" Type="http://schemas.openxmlformats.org/officeDocument/2006/relationships/ctrlProp" Target="../ctrlProps/ctrlProp76.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18" Type="http://schemas.openxmlformats.org/officeDocument/2006/relationships/ctrlProp" Target="../ctrlProps/ctrlProp91.xml"/><Relationship Id="rId3" Type="http://schemas.openxmlformats.org/officeDocument/2006/relationships/vmlDrawing" Target="../drawings/vmlDrawing11.vml"/><Relationship Id="rId21" Type="http://schemas.openxmlformats.org/officeDocument/2006/relationships/ctrlProp" Target="../ctrlProps/ctrlProp94.x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 Type="http://schemas.openxmlformats.org/officeDocument/2006/relationships/drawing" Target="../drawings/drawing8.xml"/><Relationship Id="rId16" Type="http://schemas.openxmlformats.org/officeDocument/2006/relationships/ctrlProp" Target="../ctrlProps/ctrlProp89.xml"/><Relationship Id="rId20" Type="http://schemas.openxmlformats.org/officeDocument/2006/relationships/ctrlProp" Target="../ctrlProps/ctrlProp93.xml"/><Relationship Id="rId1" Type="http://schemas.openxmlformats.org/officeDocument/2006/relationships/printerSettings" Target="../printerSettings/printerSettings16.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19" Type="http://schemas.openxmlformats.org/officeDocument/2006/relationships/ctrlProp" Target="../ctrlProps/ctrlProp92.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 Id="rId22" Type="http://schemas.openxmlformats.org/officeDocument/2006/relationships/ctrlProp" Target="../ctrlProps/ctrlProp95.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8" Type="http://schemas.openxmlformats.org/officeDocument/2006/relationships/ctrlProp" Target="../ctrlProps/ctrlProp100.xml"/><Relationship Id="rId13" Type="http://schemas.openxmlformats.org/officeDocument/2006/relationships/ctrlProp" Target="../ctrlProps/ctrlProp105.xml"/><Relationship Id="rId18" Type="http://schemas.openxmlformats.org/officeDocument/2006/relationships/ctrlProp" Target="../ctrlProps/ctrlProp110.xml"/><Relationship Id="rId3" Type="http://schemas.openxmlformats.org/officeDocument/2006/relationships/vmlDrawing" Target="../drawings/vmlDrawing12.vml"/><Relationship Id="rId21" Type="http://schemas.openxmlformats.org/officeDocument/2006/relationships/ctrlProp" Target="../ctrlProps/ctrlProp113.xml"/><Relationship Id="rId7" Type="http://schemas.openxmlformats.org/officeDocument/2006/relationships/ctrlProp" Target="../ctrlProps/ctrlProp99.xml"/><Relationship Id="rId12" Type="http://schemas.openxmlformats.org/officeDocument/2006/relationships/ctrlProp" Target="../ctrlProps/ctrlProp104.xml"/><Relationship Id="rId17" Type="http://schemas.openxmlformats.org/officeDocument/2006/relationships/ctrlProp" Target="../ctrlProps/ctrlProp109.xml"/><Relationship Id="rId2" Type="http://schemas.openxmlformats.org/officeDocument/2006/relationships/drawing" Target="../drawings/drawing9.xml"/><Relationship Id="rId16" Type="http://schemas.openxmlformats.org/officeDocument/2006/relationships/ctrlProp" Target="../ctrlProps/ctrlProp108.xml"/><Relationship Id="rId20" Type="http://schemas.openxmlformats.org/officeDocument/2006/relationships/ctrlProp" Target="../ctrlProps/ctrlProp112.xml"/><Relationship Id="rId1" Type="http://schemas.openxmlformats.org/officeDocument/2006/relationships/printerSettings" Target="../printerSettings/printerSettings19.bin"/><Relationship Id="rId6" Type="http://schemas.openxmlformats.org/officeDocument/2006/relationships/ctrlProp" Target="../ctrlProps/ctrlProp98.xml"/><Relationship Id="rId11" Type="http://schemas.openxmlformats.org/officeDocument/2006/relationships/ctrlProp" Target="../ctrlProps/ctrlProp103.xml"/><Relationship Id="rId5" Type="http://schemas.openxmlformats.org/officeDocument/2006/relationships/ctrlProp" Target="../ctrlProps/ctrlProp97.xml"/><Relationship Id="rId15" Type="http://schemas.openxmlformats.org/officeDocument/2006/relationships/ctrlProp" Target="../ctrlProps/ctrlProp107.xml"/><Relationship Id="rId10" Type="http://schemas.openxmlformats.org/officeDocument/2006/relationships/ctrlProp" Target="../ctrlProps/ctrlProp102.xml"/><Relationship Id="rId19" Type="http://schemas.openxmlformats.org/officeDocument/2006/relationships/ctrlProp" Target="../ctrlProps/ctrlProp111.xml"/><Relationship Id="rId4" Type="http://schemas.openxmlformats.org/officeDocument/2006/relationships/ctrlProp" Target="../ctrlProps/ctrlProp96.xml"/><Relationship Id="rId9" Type="http://schemas.openxmlformats.org/officeDocument/2006/relationships/ctrlProp" Target="../ctrlProps/ctrlProp101.xml"/><Relationship Id="rId14" Type="http://schemas.openxmlformats.org/officeDocument/2006/relationships/ctrlProp" Target="../ctrlProps/ctrlProp106.xml"/><Relationship Id="rId22" Type="http://schemas.openxmlformats.org/officeDocument/2006/relationships/ctrlProp" Target="../ctrlProps/ctrlProp114.xm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119.xml"/><Relationship Id="rId13" Type="http://schemas.openxmlformats.org/officeDocument/2006/relationships/ctrlProp" Target="../ctrlProps/ctrlProp124.xml"/><Relationship Id="rId18" Type="http://schemas.openxmlformats.org/officeDocument/2006/relationships/ctrlProp" Target="../ctrlProps/ctrlProp129.xml"/><Relationship Id="rId3" Type="http://schemas.openxmlformats.org/officeDocument/2006/relationships/vmlDrawing" Target="../drawings/vmlDrawing13.vml"/><Relationship Id="rId21" Type="http://schemas.openxmlformats.org/officeDocument/2006/relationships/ctrlProp" Target="../ctrlProps/ctrlProp132.xml"/><Relationship Id="rId7" Type="http://schemas.openxmlformats.org/officeDocument/2006/relationships/ctrlProp" Target="../ctrlProps/ctrlProp118.xml"/><Relationship Id="rId12" Type="http://schemas.openxmlformats.org/officeDocument/2006/relationships/ctrlProp" Target="../ctrlProps/ctrlProp123.xml"/><Relationship Id="rId17" Type="http://schemas.openxmlformats.org/officeDocument/2006/relationships/ctrlProp" Target="../ctrlProps/ctrlProp128.xml"/><Relationship Id="rId2" Type="http://schemas.openxmlformats.org/officeDocument/2006/relationships/drawing" Target="../drawings/drawing10.xml"/><Relationship Id="rId16" Type="http://schemas.openxmlformats.org/officeDocument/2006/relationships/ctrlProp" Target="../ctrlProps/ctrlProp127.xml"/><Relationship Id="rId20" Type="http://schemas.openxmlformats.org/officeDocument/2006/relationships/ctrlProp" Target="../ctrlProps/ctrlProp131.xml"/><Relationship Id="rId1" Type="http://schemas.openxmlformats.org/officeDocument/2006/relationships/printerSettings" Target="../printerSettings/printerSettings21.bin"/><Relationship Id="rId6" Type="http://schemas.openxmlformats.org/officeDocument/2006/relationships/ctrlProp" Target="../ctrlProps/ctrlProp117.xml"/><Relationship Id="rId11" Type="http://schemas.openxmlformats.org/officeDocument/2006/relationships/ctrlProp" Target="../ctrlProps/ctrlProp122.xml"/><Relationship Id="rId5" Type="http://schemas.openxmlformats.org/officeDocument/2006/relationships/ctrlProp" Target="../ctrlProps/ctrlProp116.xml"/><Relationship Id="rId15" Type="http://schemas.openxmlformats.org/officeDocument/2006/relationships/ctrlProp" Target="../ctrlProps/ctrlProp126.xml"/><Relationship Id="rId10" Type="http://schemas.openxmlformats.org/officeDocument/2006/relationships/ctrlProp" Target="../ctrlProps/ctrlProp121.xml"/><Relationship Id="rId19" Type="http://schemas.openxmlformats.org/officeDocument/2006/relationships/ctrlProp" Target="../ctrlProps/ctrlProp130.xml"/><Relationship Id="rId4" Type="http://schemas.openxmlformats.org/officeDocument/2006/relationships/ctrlProp" Target="../ctrlProps/ctrlProp115.xml"/><Relationship Id="rId9" Type="http://schemas.openxmlformats.org/officeDocument/2006/relationships/ctrlProp" Target="../ctrlProps/ctrlProp120.xml"/><Relationship Id="rId14" Type="http://schemas.openxmlformats.org/officeDocument/2006/relationships/ctrlProp" Target="../ctrlProps/ctrlProp125.xml"/><Relationship Id="rId22" Type="http://schemas.openxmlformats.org/officeDocument/2006/relationships/ctrlProp" Target="../ctrlProps/ctrlProp133.xml"/></Relationships>
</file>

<file path=xl/worksheets/_rels/sheet24.xml.rels><?xml version="1.0" encoding="UTF-8" standalone="yes"?>
<Relationships xmlns="http://schemas.openxmlformats.org/package/2006/relationships"><Relationship Id="rId8" Type="http://schemas.openxmlformats.org/officeDocument/2006/relationships/ctrlProp" Target="../ctrlProps/ctrlProp138.xml"/><Relationship Id="rId3" Type="http://schemas.openxmlformats.org/officeDocument/2006/relationships/vmlDrawing" Target="../drawings/vmlDrawing14.vml"/><Relationship Id="rId7" Type="http://schemas.openxmlformats.org/officeDocument/2006/relationships/ctrlProp" Target="../ctrlProps/ctrlProp137.xml"/><Relationship Id="rId2" Type="http://schemas.openxmlformats.org/officeDocument/2006/relationships/drawing" Target="../drawings/drawing11.xml"/><Relationship Id="rId1" Type="http://schemas.openxmlformats.org/officeDocument/2006/relationships/printerSettings" Target="../printerSettings/printerSettings22.bin"/><Relationship Id="rId6" Type="http://schemas.openxmlformats.org/officeDocument/2006/relationships/ctrlProp" Target="../ctrlProps/ctrlProp136.xml"/><Relationship Id="rId5" Type="http://schemas.openxmlformats.org/officeDocument/2006/relationships/ctrlProp" Target="../ctrlProps/ctrlProp135.xml"/><Relationship Id="rId10" Type="http://schemas.openxmlformats.org/officeDocument/2006/relationships/comments" Target="../comments7.xml"/><Relationship Id="rId4" Type="http://schemas.openxmlformats.org/officeDocument/2006/relationships/ctrlProp" Target="../ctrlProps/ctrlProp134.xml"/><Relationship Id="rId9" Type="http://schemas.openxmlformats.org/officeDocument/2006/relationships/ctrlProp" Target="../ctrlProps/ctrlProp139.xml"/></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144.xml"/><Relationship Id="rId13" Type="http://schemas.openxmlformats.org/officeDocument/2006/relationships/ctrlProp" Target="../ctrlProps/ctrlProp149.xml"/><Relationship Id="rId18" Type="http://schemas.openxmlformats.org/officeDocument/2006/relationships/ctrlProp" Target="../ctrlProps/ctrlProp154.xml"/><Relationship Id="rId3" Type="http://schemas.openxmlformats.org/officeDocument/2006/relationships/vmlDrawing" Target="../drawings/vmlDrawing15.vml"/><Relationship Id="rId21" Type="http://schemas.openxmlformats.org/officeDocument/2006/relationships/ctrlProp" Target="../ctrlProps/ctrlProp157.xml"/><Relationship Id="rId7" Type="http://schemas.openxmlformats.org/officeDocument/2006/relationships/ctrlProp" Target="../ctrlProps/ctrlProp143.xml"/><Relationship Id="rId12" Type="http://schemas.openxmlformats.org/officeDocument/2006/relationships/ctrlProp" Target="../ctrlProps/ctrlProp148.xml"/><Relationship Id="rId17" Type="http://schemas.openxmlformats.org/officeDocument/2006/relationships/ctrlProp" Target="../ctrlProps/ctrlProp153.xml"/><Relationship Id="rId2" Type="http://schemas.openxmlformats.org/officeDocument/2006/relationships/drawing" Target="../drawings/drawing12.xml"/><Relationship Id="rId16" Type="http://schemas.openxmlformats.org/officeDocument/2006/relationships/ctrlProp" Target="../ctrlProps/ctrlProp152.xml"/><Relationship Id="rId20" Type="http://schemas.openxmlformats.org/officeDocument/2006/relationships/ctrlProp" Target="../ctrlProps/ctrlProp156.xml"/><Relationship Id="rId1" Type="http://schemas.openxmlformats.org/officeDocument/2006/relationships/printerSettings" Target="../printerSettings/printerSettings23.bin"/><Relationship Id="rId6" Type="http://schemas.openxmlformats.org/officeDocument/2006/relationships/ctrlProp" Target="../ctrlProps/ctrlProp142.xml"/><Relationship Id="rId11" Type="http://schemas.openxmlformats.org/officeDocument/2006/relationships/ctrlProp" Target="../ctrlProps/ctrlProp147.xml"/><Relationship Id="rId5" Type="http://schemas.openxmlformats.org/officeDocument/2006/relationships/ctrlProp" Target="../ctrlProps/ctrlProp141.xml"/><Relationship Id="rId15" Type="http://schemas.openxmlformats.org/officeDocument/2006/relationships/ctrlProp" Target="../ctrlProps/ctrlProp151.xml"/><Relationship Id="rId10" Type="http://schemas.openxmlformats.org/officeDocument/2006/relationships/ctrlProp" Target="../ctrlProps/ctrlProp146.xml"/><Relationship Id="rId19" Type="http://schemas.openxmlformats.org/officeDocument/2006/relationships/ctrlProp" Target="../ctrlProps/ctrlProp155.xml"/><Relationship Id="rId4" Type="http://schemas.openxmlformats.org/officeDocument/2006/relationships/ctrlProp" Target="../ctrlProps/ctrlProp140.xml"/><Relationship Id="rId9" Type="http://schemas.openxmlformats.org/officeDocument/2006/relationships/ctrlProp" Target="../ctrlProps/ctrlProp145.xml"/><Relationship Id="rId14" Type="http://schemas.openxmlformats.org/officeDocument/2006/relationships/ctrlProp" Target="../ctrlProps/ctrlProp150.xml"/><Relationship Id="rId22" Type="http://schemas.openxmlformats.org/officeDocument/2006/relationships/ctrlProp" Target="../ctrlProps/ctrlProp15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7:O14"/>
  <sheetViews>
    <sheetView topLeftCell="A11" workbookViewId="0">
      <selection activeCell="A15" sqref="A15"/>
    </sheetView>
  </sheetViews>
  <sheetFormatPr defaultRowHeight="14.5" x14ac:dyDescent="0.35"/>
  <cols>
    <col min="14" max="14" width="6.54296875" customWidth="1"/>
  </cols>
  <sheetData>
    <row r="7" spans="1:15" x14ac:dyDescent="0.35">
      <c r="O7" t="s">
        <v>406</v>
      </c>
    </row>
    <row r="13" spans="1:15" s="900" customFormat="1" x14ac:dyDescent="0.35"/>
    <row r="14" spans="1:15" x14ac:dyDescent="0.35">
      <c r="A14" s="901">
        <v>45170</v>
      </c>
    </row>
  </sheetData>
  <sheetProtection password="CC2E"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 filterMode="1">
    <tabColor theme="1" tint="0.34998626667073579"/>
  </sheetPr>
  <dimension ref="A1:FV139"/>
  <sheetViews>
    <sheetView zoomScale="85" zoomScaleNormal="85" workbookViewId="0">
      <pane xSplit="7" ySplit="11" topLeftCell="AV64" activePane="bottomRight" state="frozen"/>
      <selection pane="topRight" activeCell="H1" sqref="H1"/>
      <selection pane="bottomLeft" activeCell="A12" sqref="A12"/>
      <selection pane="bottomRight" activeCell="BB29" sqref="BB29"/>
    </sheetView>
  </sheetViews>
  <sheetFormatPr defaultColWidth="8.90625" defaultRowHeight="13" x14ac:dyDescent="0.3"/>
  <cols>
    <col min="1" max="1" width="9.08984375" style="972" customWidth="1"/>
    <col min="2" max="2" width="16.453125" style="710" hidden="1" customWidth="1"/>
    <col min="3" max="3" width="11.6328125" style="972" customWidth="1"/>
    <col min="4" max="4" width="13.1796875" style="798" hidden="1" customWidth="1"/>
    <col min="5" max="5" width="16.453125" style="972" customWidth="1"/>
    <col min="6" max="6" width="11.08984375" style="972" customWidth="1"/>
    <col min="7" max="7" width="10.08984375" style="972" customWidth="1"/>
    <col min="8" max="8" width="9.08984375" style="972" customWidth="1"/>
    <col min="9" max="9" width="12.54296875" style="975" customWidth="1"/>
    <col min="10" max="11" width="13.90625" style="975" customWidth="1"/>
    <col min="12" max="13" width="14.90625" style="975" customWidth="1"/>
    <col min="14" max="45" width="13.6328125" style="975" customWidth="1"/>
    <col min="46" max="46" width="13.6328125" style="976" customWidth="1"/>
    <col min="47" max="48" width="15.54296875" style="976" customWidth="1"/>
    <col min="49" max="49" width="16.08984375" style="976" customWidth="1"/>
    <col min="50" max="50" width="9.08984375" style="977" customWidth="1"/>
    <col min="51" max="51" width="14.90625" style="976" customWidth="1"/>
    <col min="52" max="52" width="12.08984375" style="976" customWidth="1"/>
    <col min="53" max="53" width="13.36328125" style="976" customWidth="1"/>
    <col min="54" max="54" width="9.08984375" style="976" customWidth="1"/>
    <col min="55" max="55" width="11.36328125" style="976" customWidth="1"/>
    <col min="56" max="56" width="10.6328125" style="976" customWidth="1"/>
    <col min="57" max="57" width="14.36328125" style="976" customWidth="1"/>
    <col min="58" max="58" width="13.453125" style="976" customWidth="1"/>
    <col min="59" max="60" width="13.08984375" style="976" customWidth="1"/>
    <col min="61" max="61" width="9.08984375" style="972" customWidth="1"/>
    <col min="62" max="63" width="8.90625" style="710" hidden="1" customWidth="1"/>
    <col min="64" max="64" width="11.54296875" style="902" hidden="1" customWidth="1"/>
    <col min="65" max="65" width="12.08984375" style="902" hidden="1" customWidth="1"/>
    <col min="66" max="66" width="0" style="902" hidden="1" customWidth="1"/>
    <col min="67" max="67" width="14.81640625" style="902" hidden="1" customWidth="1"/>
    <col min="68" max="68" width="10.1796875" style="902" hidden="1" customWidth="1"/>
    <col min="69" max="69" width="0" style="710" hidden="1" customWidth="1"/>
    <col min="70" max="70" width="8.90625" style="972"/>
    <col min="71" max="71" width="36.1796875" style="710" hidden="1" customWidth="1"/>
    <col min="72" max="72" width="27.6328125" style="710" hidden="1" customWidth="1"/>
    <col min="73" max="73" width="11.81640625" style="710" hidden="1" customWidth="1"/>
    <col min="74" max="74" width="0" style="710" hidden="1" customWidth="1"/>
    <col min="75" max="75" width="14.1796875" style="710" hidden="1" customWidth="1"/>
    <col min="76" max="76" width="14.90625" style="710" hidden="1" customWidth="1"/>
    <col min="77" max="77" width="0" style="710" hidden="1" customWidth="1"/>
    <col min="78" max="78" width="12.6328125" style="972" customWidth="1"/>
    <col min="79" max="79" width="8.90625" style="1008"/>
    <col min="80" max="81" width="11.54296875" style="978" customWidth="1"/>
    <col min="82" max="82" width="8.90625" style="972"/>
    <col min="83" max="83" width="5" style="1009" customWidth="1"/>
    <col min="84" max="84" width="8.90625" style="972" customWidth="1"/>
    <col min="85" max="88" width="12" style="972" customWidth="1"/>
    <col min="89" max="97" width="10.81640625" style="972" customWidth="1"/>
    <col min="98" max="122" width="13.54296875" style="972" customWidth="1"/>
    <col min="123" max="123" width="16.81640625" style="972" customWidth="1"/>
    <col min="124" max="124" width="13.54296875" style="972" customWidth="1"/>
    <col min="125" max="125" width="16.81640625" style="972" customWidth="1"/>
    <col min="126" max="126" width="13.54296875" style="972" customWidth="1"/>
    <col min="127" max="127" width="16.81640625" style="972" customWidth="1"/>
    <col min="128" max="128" width="13.54296875" style="972" customWidth="1"/>
    <col min="129" max="129" width="16.81640625" style="972" customWidth="1"/>
    <col min="130" max="130" width="13.54296875" style="972" customWidth="1"/>
    <col min="131" max="131" width="16.81640625" style="972" customWidth="1"/>
    <col min="132" max="142" width="13.54296875" style="972" customWidth="1"/>
    <col min="143" max="143" width="8.90625" style="972" customWidth="1"/>
    <col min="144" max="146" width="13.54296875" style="972" customWidth="1"/>
    <col min="147" max="147" width="8.90625" style="972" customWidth="1"/>
    <col min="148" max="149" width="13.54296875" style="972" customWidth="1"/>
    <col min="150" max="150" width="8.90625" style="972" customWidth="1"/>
    <col min="151" max="151" width="13.54296875" style="972" customWidth="1"/>
    <col min="152" max="152" width="8.90625" style="972" customWidth="1"/>
    <col min="153" max="153" width="8.90625" style="1009"/>
    <col min="154" max="154" width="15.6328125" style="710" hidden="1" customWidth="1"/>
    <col min="155" max="155" width="15.6328125" style="846" hidden="1" customWidth="1"/>
    <col min="156" max="159" width="15.6328125" style="710" hidden="1" customWidth="1"/>
    <col min="160" max="160" width="12.36328125" style="944" hidden="1" customWidth="1"/>
    <col min="161" max="161" width="12.453125" style="846" hidden="1" customWidth="1"/>
    <col min="162" max="162" width="12.36328125" style="710" hidden="1" customWidth="1"/>
    <col min="163" max="165" width="13.81640625" style="710" hidden="1" customWidth="1"/>
    <col min="166" max="166" width="0" style="838" hidden="1" customWidth="1"/>
    <col min="167" max="167" width="11.81640625" style="710" hidden="1" customWidth="1"/>
    <col min="168" max="16384" width="8.90625" style="972"/>
  </cols>
  <sheetData>
    <row r="1" spans="1:178" ht="14.5" customHeight="1" x14ac:dyDescent="0.35">
      <c r="A1" s="970" t="s">
        <v>309</v>
      </c>
      <c r="EX1" s="1109" t="s">
        <v>437</v>
      </c>
      <c r="EY1" s="1109"/>
      <c r="EZ1" s="1109"/>
      <c r="FA1" s="1109"/>
      <c r="FB1" s="1109"/>
      <c r="FC1" s="1109"/>
      <c r="FD1" s="1109"/>
      <c r="FE1" s="1109"/>
      <c r="FF1" s="1109"/>
      <c r="FG1" s="1109"/>
      <c r="FH1" s="1109"/>
      <c r="FI1" s="1109"/>
    </row>
    <row r="2" spans="1:178" x14ac:dyDescent="0.3">
      <c r="A2" s="970" t="s">
        <v>240</v>
      </c>
    </row>
    <row r="3" spans="1:178" x14ac:dyDescent="0.3">
      <c r="A3" s="970" t="s">
        <v>346</v>
      </c>
      <c r="J3" s="978"/>
      <c r="K3" s="978"/>
      <c r="AW3" s="979"/>
    </row>
    <row r="4" spans="1:178" x14ac:dyDescent="0.3">
      <c r="A4" s="971"/>
      <c r="I4" s="980"/>
      <c r="J4" s="978"/>
      <c r="K4" s="978"/>
      <c r="AW4" s="977"/>
    </row>
    <row r="5" spans="1:178" x14ac:dyDescent="0.3">
      <c r="I5" s="981"/>
      <c r="J5" s="978"/>
      <c r="K5" s="978"/>
      <c r="AW5" s="977"/>
    </row>
    <row r="6" spans="1:178" x14ac:dyDescent="0.3">
      <c r="I6" s="981"/>
      <c r="J6" s="978"/>
      <c r="K6" s="978"/>
      <c r="AW6" s="977"/>
    </row>
    <row r="7" spans="1:178" x14ac:dyDescent="0.3">
      <c r="I7" s="981"/>
      <c r="J7" s="978"/>
      <c r="K7" s="978"/>
      <c r="AW7" s="977"/>
      <c r="BA7" s="982" t="s">
        <v>399</v>
      </c>
      <c r="BB7" s="983">
        <f>EO13</f>
        <v>1</v>
      </c>
      <c r="FB7" s="939" t="s">
        <v>399</v>
      </c>
      <c r="FC7" s="943">
        <v>25</v>
      </c>
    </row>
    <row r="8" spans="1:178" x14ac:dyDescent="0.3">
      <c r="R8" s="984" t="s">
        <v>412</v>
      </c>
      <c r="S8" s="984">
        <f>RECOVERIES!F10</f>
        <v>11964.456</v>
      </c>
      <c r="T8" s="985"/>
      <c r="U8" s="985"/>
      <c r="V8" s="985"/>
      <c r="W8" s="985"/>
      <c r="X8" s="985"/>
      <c r="Y8" s="985"/>
      <c r="Z8" s="985"/>
      <c r="AA8" s="985"/>
      <c r="AB8" s="985"/>
      <c r="AC8" s="985"/>
      <c r="AD8" s="985"/>
      <c r="AE8" s="985"/>
      <c r="AF8" s="985"/>
      <c r="AG8" s="985"/>
      <c r="AH8" s="985"/>
      <c r="AI8" s="985"/>
      <c r="AJ8" s="985"/>
      <c r="AK8" s="985"/>
      <c r="AL8" s="985"/>
      <c r="AM8" s="985"/>
      <c r="AN8" s="985"/>
      <c r="AO8" s="985"/>
      <c r="AP8" s="985"/>
      <c r="AQ8" s="985"/>
      <c r="AR8" s="985"/>
      <c r="AS8" s="985"/>
      <c r="BA8" s="982" t="s">
        <v>404</v>
      </c>
      <c r="BB8" s="983">
        <f t="shared" ref="BB8:BB9" si="0">EO14</f>
        <v>18</v>
      </c>
      <c r="BF8" s="986"/>
      <c r="BG8" s="986"/>
      <c r="BH8" s="986"/>
      <c r="FB8" s="939" t="s">
        <v>404</v>
      </c>
      <c r="FC8" s="943">
        <v>33</v>
      </c>
    </row>
    <row r="9" spans="1:178" x14ac:dyDescent="0.3">
      <c r="R9" s="984" t="s">
        <v>413</v>
      </c>
      <c r="S9" s="984">
        <f>RECOVERIES!L10</f>
        <v>11964.456</v>
      </c>
      <c r="T9" s="985"/>
      <c r="U9" s="985"/>
      <c r="V9" s="985"/>
      <c r="W9" s="985"/>
      <c r="X9" s="985"/>
      <c r="Y9" s="985"/>
      <c r="Z9" s="985"/>
      <c r="AA9" s="985"/>
      <c r="AB9" s="985"/>
      <c r="AC9" s="985"/>
      <c r="AD9" s="985"/>
      <c r="AE9" s="985"/>
      <c r="AF9" s="985"/>
      <c r="AG9" s="985"/>
      <c r="AH9" s="985"/>
      <c r="AI9" s="985"/>
      <c r="AJ9" s="985"/>
      <c r="AK9" s="985"/>
      <c r="AL9" s="985"/>
      <c r="AM9" s="985"/>
      <c r="AN9" s="985"/>
      <c r="AO9" s="985"/>
      <c r="AP9" s="985"/>
      <c r="AQ9" s="985"/>
      <c r="AR9" s="985"/>
      <c r="AS9" s="985"/>
      <c r="BA9" s="982" t="s">
        <v>405</v>
      </c>
      <c r="BB9" s="983">
        <f t="shared" si="0"/>
        <v>31</v>
      </c>
      <c r="BF9" s="987" t="s">
        <v>52</v>
      </c>
      <c r="CK9" s="1010" t="s">
        <v>416</v>
      </c>
      <c r="CS9" s="1011" t="s">
        <v>439</v>
      </c>
      <c r="CU9" s="1011" t="s">
        <v>440</v>
      </c>
      <c r="CW9" s="1011"/>
      <c r="CY9" s="1011"/>
      <c r="FB9" s="939" t="s">
        <v>405</v>
      </c>
      <c r="FC9" s="943">
        <v>48</v>
      </c>
    </row>
    <row r="10" spans="1:178" ht="13.5" thickBot="1" x14ac:dyDescent="0.35">
      <c r="A10" s="973"/>
      <c r="B10" s="802"/>
      <c r="C10" s="973"/>
      <c r="D10" s="803"/>
      <c r="E10" s="973"/>
      <c r="F10" s="973"/>
      <c r="G10" s="973"/>
      <c r="H10" s="973"/>
      <c r="I10" s="988"/>
      <c r="J10" s="988"/>
      <c r="K10" s="988"/>
      <c r="L10" s="988">
        <v>12000</v>
      </c>
      <c r="M10" s="988"/>
      <c r="N10" s="988"/>
      <c r="O10" s="989">
        <v>2.5000000000000001E-2</v>
      </c>
      <c r="P10" s="989"/>
      <c r="Q10" s="989">
        <v>1.2500000000000001E-2</v>
      </c>
      <c r="R10" s="990" t="s">
        <v>414</v>
      </c>
      <c r="S10" s="984">
        <f>RECOVERIES!R10</f>
        <v>17388.761600000002</v>
      </c>
      <c r="T10" s="985"/>
      <c r="U10" s="985"/>
      <c r="V10" s="956">
        <v>3.7499999999999999E-2</v>
      </c>
      <c r="W10" s="985"/>
      <c r="X10" s="985"/>
      <c r="Y10" s="985"/>
      <c r="Z10" s="985"/>
      <c r="AA10" s="985"/>
      <c r="AB10" s="985"/>
      <c r="AC10" s="985"/>
      <c r="AD10" s="985"/>
      <c r="AE10" s="985"/>
      <c r="AF10" s="985"/>
      <c r="AG10" s="985"/>
      <c r="AH10" s="985"/>
      <c r="AI10" s="985"/>
      <c r="AJ10" s="985"/>
      <c r="AK10" s="985"/>
      <c r="AL10" s="985"/>
      <c r="AM10" s="985"/>
      <c r="AN10" s="985">
        <f>RECOVERIES!R10</f>
        <v>17388.761600000002</v>
      </c>
      <c r="AO10" s="985"/>
      <c r="AP10" s="985"/>
      <c r="AQ10" s="985"/>
      <c r="AR10" s="985"/>
      <c r="AS10" s="985"/>
      <c r="AT10" s="991"/>
      <c r="AU10" s="992">
        <v>0.12</v>
      </c>
      <c r="AV10" s="992">
        <v>0.1</v>
      </c>
      <c r="AW10" s="991"/>
      <c r="AX10" s="991"/>
      <c r="AY10" s="991"/>
      <c r="AZ10" s="991"/>
      <c r="BA10" s="991"/>
      <c r="BB10" s="991"/>
      <c r="BC10" s="991"/>
      <c r="BD10" s="991"/>
      <c r="BE10" s="993"/>
      <c r="BF10" s="994">
        <v>7.0000000000000007E-2</v>
      </c>
      <c r="BG10" s="973"/>
      <c r="BH10" s="973"/>
      <c r="BI10" s="995"/>
      <c r="BJ10" s="804"/>
      <c r="BK10" s="804"/>
      <c r="BL10" s="903" t="s">
        <v>347</v>
      </c>
      <c r="BM10" s="904">
        <v>45200</v>
      </c>
      <c r="BN10" s="903"/>
      <c r="BO10" s="903" t="s">
        <v>348</v>
      </c>
      <c r="BP10" s="904">
        <f>BM10</f>
        <v>45200</v>
      </c>
      <c r="BQ10" s="804"/>
      <c r="BR10" s="995"/>
      <c r="BS10" s="804"/>
      <c r="BT10" s="804"/>
      <c r="BU10" s="804"/>
      <c r="BV10" s="804"/>
      <c r="BW10" s="804"/>
      <c r="BX10" s="804"/>
      <c r="BY10" s="804"/>
      <c r="BZ10" s="995"/>
      <c r="CJ10" s="1012">
        <v>45047</v>
      </c>
      <c r="CK10" s="1010">
        <v>2</v>
      </c>
      <c r="CL10" s="1012">
        <v>45108</v>
      </c>
      <c r="CM10" s="1010"/>
      <c r="CN10" s="1012">
        <v>45139</v>
      </c>
      <c r="CO10" s="1010"/>
      <c r="CP10" s="1012">
        <v>45170</v>
      </c>
      <c r="CQ10" s="1010"/>
      <c r="CR10" s="1012">
        <v>45200</v>
      </c>
      <c r="CS10" s="1010"/>
      <c r="CT10" s="1012">
        <v>45231</v>
      </c>
      <c r="CU10" s="1010"/>
      <c r="CV10" s="1012">
        <v>45231</v>
      </c>
      <c r="CW10" s="1010"/>
      <c r="CX10" s="1012">
        <v>45261</v>
      </c>
      <c r="CY10" s="1010"/>
      <c r="CZ10" s="1012">
        <v>45292</v>
      </c>
      <c r="DA10" s="1010"/>
      <c r="DB10" s="1012">
        <v>45323</v>
      </c>
      <c r="DC10" s="1010"/>
      <c r="DD10" s="1012">
        <v>45352</v>
      </c>
      <c r="DE10" s="1010"/>
      <c r="DF10" s="1012">
        <v>45383</v>
      </c>
      <c r="DG10" s="1010"/>
      <c r="DH10" s="1012">
        <v>45413</v>
      </c>
      <c r="DI10" s="1010"/>
      <c r="DJ10" s="1012">
        <v>45444</v>
      </c>
      <c r="DK10" s="1010"/>
      <c r="DL10" s="1012">
        <v>45474</v>
      </c>
      <c r="DM10" s="1010"/>
      <c r="DN10" s="1012">
        <v>45505</v>
      </c>
      <c r="DO10" s="1010"/>
      <c r="DP10" s="1012">
        <v>45536</v>
      </c>
      <c r="DQ10" s="1010"/>
      <c r="DR10" s="1012">
        <v>45566</v>
      </c>
      <c r="DS10" s="1010"/>
      <c r="DT10" s="1012">
        <v>45597</v>
      </c>
      <c r="DU10" s="1010"/>
      <c r="DV10" s="1012">
        <v>45627</v>
      </c>
      <c r="DW10" s="1010"/>
      <c r="DX10" s="1012">
        <v>45658</v>
      </c>
      <c r="DY10" s="1010"/>
      <c r="DZ10" s="1012">
        <v>45689</v>
      </c>
      <c r="EA10" s="1010"/>
      <c r="EB10" s="1012">
        <v>45717</v>
      </c>
      <c r="EC10" s="1010"/>
      <c r="ED10" s="1013" t="s">
        <v>461</v>
      </c>
      <c r="EE10" s="1010"/>
      <c r="EF10" s="1013" t="s">
        <v>462</v>
      </c>
      <c r="EG10" s="1010"/>
      <c r="EH10" s="1012">
        <v>45778</v>
      </c>
      <c r="EI10" s="1010"/>
      <c r="EJ10" s="1012">
        <v>45809</v>
      </c>
      <c r="EK10" s="1010"/>
      <c r="EL10" s="1012">
        <v>45839</v>
      </c>
      <c r="EM10" s="1010"/>
      <c r="EN10" s="1012">
        <v>45870</v>
      </c>
      <c r="EO10" s="1010"/>
      <c r="EP10" s="1012">
        <v>45901</v>
      </c>
      <c r="ER10" s="1014"/>
      <c r="ES10" s="1014"/>
      <c r="EU10" s="1014"/>
    </row>
    <row r="11" spans="1:178" s="811" customFormat="1" ht="42.5" thickBot="1" x14ac:dyDescent="0.35">
      <c r="A11" s="805" t="s">
        <v>349</v>
      </c>
      <c r="B11" s="805" t="s">
        <v>204</v>
      </c>
      <c r="C11" s="805" t="s">
        <v>350</v>
      </c>
      <c r="D11" s="806" t="s">
        <v>351</v>
      </c>
      <c r="E11" s="805" t="s">
        <v>352</v>
      </c>
      <c r="F11" s="805" t="s">
        <v>353</v>
      </c>
      <c r="G11" s="805" t="s">
        <v>354</v>
      </c>
      <c r="H11" s="805" t="s">
        <v>355</v>
      </c>
      <c r="I11" s="807" t="s">
        <v>356</v>
      </c>
      <c r="J11" s="807" t="s">
        <v>357</v>
      </c>
      <c r="K11" s="807" t="s">
        <v>358</v>
      </c>
      <c r="L11" s="807" t="s">
        <v>359</v>
      </c>
      <c r="M11" s="807" t="s">
        <v>443</v>
      </c>
      <c r="N11" s="807" t="s">
        <v>360</v>
      </c>
      <c r="O11" s="807" t="s">
        <v>361</v>
      </c>
      <c r="P11" s="807" t="s">
        <v>360</v>
      </c>
      <c r="Q11" s="807" t="s">
        <v>441</v>
      </c>
      <c r="R11" s="807" t="s">
        <v>442</v>
      </c>
      <c r="S11" s="951" t="s">
        <v>444</v>
      </c>
      <c r="T11" s="951" t="s">
        <v>360</v>
      </c>
      <c r="U11" s="951" t="s">
        <v>447</v>
      </c>
      <c r="V11" s="951" t="s">
        <v>448</v>
      </c>
      <c r="W11" s="951" t="s">
        <v>449</v>
      </c>
      <c r="X11" s="951" t="s">
        <v>453</v>
      </c>
      <c r="Y11" s="951" t="s">
        <v>454</v>
      </c>
      <c r="Z11" s="958" t="s">
        <v>455</v>
      </c>
      <c r="AA11" s="958" t="s">
        <v>456</v>
      </c>
      <c r="AB11" s="958" t="s">
        <v>457</v>
      </c>
      <c r="AC11" s="958" t="s">
        <v>458</v>
      </c>
      <c r="AD11" s="958" t="s">
        <v>459</v>
      </c>
      <c r="AE11" s="958" t="s">
        <v>460</v>
      </c>
      <c r="AF11" s="958" t="s">
        <v>463</v>
      </c>
      <c r="AG11" s="958" t="s">
        <v>464</v>
      </c>
      <c r="AH11" s="958" t="s">
        <v>459</v>
      </c>
      <c r="AI11" s="958" t="s">
        <v>460</v>
      </c>
      <c r="AJ11" s="958" t="s">
        <v>463</v>
      </c>
      <c r="AK11" s="958" t="s">
        <v>464</v>
      </c>
      <c r="AL11" s="958" t="s">
        <v>465</v>
      </c>
      <c r="AM11" s="958" t="s">
        <v>466</v>
      </c>
      <c r="AN11" s="958" t="s">
        <v>467</v>
      </c>
      <c r="AO11" s="958" t="s">
        <v>468</v>
      </c>
      <c r="AP11" s="958" t="s">
        <v>469</v>
      </c>
      <c r="AQ11" s="958" t="s">
        <v>470</v>
      </c>
      <c r="AR11" s="958" t="s">
        <v>471</v>
      </c>
      <c r="AS11" s="958" t="s">
        <v>472</v>
      </c>
      <c r="AT11" s="808" t="s">
        <v>360</v>
      </c>
      <c r="AU11" s="808" t="s">
        <v>362</v>
      </c>
      <c r="AV11" s="808" t="s">
        <v>363</v>
      </c>
      <c r="AW11" s="808" t="s">
        <v>28</v>
      </c>
      <c r="AX11" s="808" t="s">
        <v>364</v>
      </c>
      <c r="AY11" s="808" t="s">
        <v>365</v>
      </c>
      <c r="AZ11" s="808" t="s">
        <v>366</v>
      </c>
      <c r="BA11" s="808" t="s">
        <v>367</v>
      </c>
      <c r="BB11" s="808" t="s">
        <v>206</v>
      </c>
      <c r="BC11" s="808" t="s">
        <v>368</v>
      </c>
      <c r="BD11" s="808" t="s">
        <v>369</v>
      </c>
      <c r="BE11" s="808" t="s">
        <v>370</v>
      </c>
      <c r="BF11" s="809" t="s">
        <v>424</v>
      </c>
      <c r="BG11" s="809" t="s">
        <v>425</v>
      </c>
      <c r="BH11" s="809" t="s">
        <v>426</v>
      </c>
      <c r="BI11" s="810"/>
      <c r="BJ11" s="810"/>
      <c r="BK11" s="810"/>
      <c r="BL11" s="905" t="s">
        <v>371</v>
      </c>
      <c r="BM11" s="905" t="s">
        <v>372</v>
      </c>
      <c r="BN11" s="906"/>
      <c r="BO11" s="905" t="s">
        <v>371</v>
      </c>
      <c r="BP11" s="905" t="s">
        <v>372</v>
      </c>
      <c r="BQ11" s="810"/>
      <c r="BR11" s="810"/>
      <c r="BS11" s="1100" t="s">
        <v>300</v>
      </c>
      <c r="BT11" s="1101"/>
      <c r="BU11" s="1102"/>
      <c r="BV11" s="1102"/>
      <c r="BW11" s="1102"/>
      <c r="BX11" s="1103"/>
      <c r="BY11" s="810"/>
      <c r="BZ11" s="810"/>
      <c r="CA11" s="829" t="s">
        <v>383</v>
      </c>
      <c r="CB11" s="831" t="s">
        <v>397</v>
      </c>
      <c r="CC11" s="831" t="s">
        <v>398</v>
      </c>
      <c r="CE11" s="839"/>
      <c r="CG11" s="1104" t="s">
        <v>407</v>
      </c>
      <c r="CH11" s="1105"/>
      <c r="CI11" s="1104" t="s">
        <v>408</v>
      </c>
      <c r="CJ11" s="1106"/>
      <c r="CK11" s="1095" t="s">
        <v>408</v>
      </c>
      <c r="CL11" s="1096"/>
      <c r="CM11" s="1095" t="s">
        <v>408</v>
      </c>
      <c r="CN11" s="1096"/>
      <c r="CO11" s="1095" t="s">
        <v>408</v>
      </c>
      <c r="CP11" s="1096"/>
      <c r="CQ11" s="1095" t="s">
        <v>408</v>
      </c>
      <c r="CR11" s="1096"/>
      <c r="CS11" s="1095" t="s">
        <v>408</v>
      </c>
      <c r="CT11" s="1096"/>
      <c r="CU11" s="1095" t="s">
        <v>408</v>
      </c>
      <c r="CV11" s="1096"/>
      <c r="CW11" s="1095" t="s">
        <v>408</v>
      </c>
      <c r="CX11" s="1096"/>
      <c r="CY11" s="1095" t="s">
        <v>408</v>
      </c>
      <c r="CZ11" s="1096"/>
      <c r="DA11" s="1095" t="s">
        <v>408</v>
      </c>
      <c r="DB11" s="1096"/>
      <c r="DC11" s="1095" t="s">
        <v>408</v>
      </c>
      <c r="DD11" s="1096"/>
      <c r="DE11" s="1095" t="s">
        <v>408</v>
      </c>
      <c r="DF11" s="1096"/>
      <c r="DG11" s="1095" t="s">
        <v>408</v>
      </c>
      <c r="DH11" s="1096"/>
      <c r="DI11" s="1095" t="s">
        <v>408</v>
      </c>
      <c r="DJ11" s="1096"/>
      <c r="DK11" s="1095" t="s">
        <v>408</v>
      </c>
      <c r="DL11" s="1096"/>
      <c r="DM11" s="1095" t="s">
        <v>408</v>
      </c>
      <c r="DN11" s="1096"/>
      <c r="DO11" s="1095" t="s">
        <v>408</v>
      </c>
      <c r="DP11" s="1096"/>
      <c r="DQ11" s="1095" t="s">
        <v>408</v>
      </c>
      <c r="DR11" s="1096"/>
      <c r="DS11" s="1107" t="s">
        <v>451</v>
      </c>
      <c r="DT11" s="1108"/>
      <c r="DU11" s="1107" t="s">
        <v>451</v>
      </c>
      <c r="DV11" s="1108"/>
      <c r="DW11" s="1107" t="s">
        <v>451</v>
      </c>
      <c r="DX11" s="1108"/>
      <c r="DY11" s="1107"/>
      <c r="DZ11" s="1108"/>
      <c r="EA11" s="1107"/>
      <c r="EB11" s="1108"/>
      <c r="EC11" s="1107"/>
      <c r="ED11" s="1108"/>
      <c r="EE11" s="1107"/>
      <c r="EF11" s="1108"/>
      <c r="EG11" s="1107"/>
      <c r="EH11" s="1108"/>
      <c r="EI11" s="1107"/>
      <c r="EJ11" s="1108"/>
      <c r="EK11" s="1107"/>
      <c r="EL11" s="1108"/>
      <c r="EM11" s="1107"/>
      <c r="EN11" s="1108"/>
      <c r="EO11" s="1107"/>
      <c r="EP11" s="1108"/>
      <c r="ER11" s="1015"/>
      <c r="ES11" s="1015"/>
      <c r="EU11" s="1015"/>
      <c r="EW11" s="839"/>
      <c r="EX11" s="937" t="str">
        <f t="shared" ref="EX11:FI11" si="1">AW11</f>
        <v>TOTAL CONTRACT PRICE</v>
      </c>
      <c r="EY11" s="941" t="str">
        <f t="shared" si="1"/>
        <v>EQUITY DP %</v>
      </c>
      <c r="EZ11" s="937" t="str">
        <f t="shared" si="1"/>
        <v>EQUITY DOWN PAYMENT</v>
      </c>
      <c r="FA11" s="937" t="str">
        <f t="shared" si="1"/>
        <v>( - ) RESERVATION FEE</v>
      </c>
      <c r="FB11" s="937" t="str">
        <f t="shared" si="1"/>
        <v>( = ) NET EQUITY DOWN PAYMENT</v>
      </c>
      <c r="FC11" s="937" t="str">
        <f t="shared" si="1"/>
        <v>EQUITY TERM</v>
      </c>
      <c r="FD11" s="945" t="str">
        <f t="shared" si="1"/>
        <v>MONTHLY EQUITY</v>
      </c>
      <c r="FE11" s="941" t="str">
        <f t="shared" si="1"/>
        <v>BALANCE %</v>
      </c>
      <c r="FF11" s="937" t="str">
        <f t="shared" si="1"/>
        <v>LOANABLE AMOUNT</v>
      </c>
      <c r="FG11" s="937" t="str">
        <f t="shared" si="1"/>
        <v>Monthly Amort. 15 years @ 7% fixed 3 yrs only</v>
      </c>
      <c r="FH11" s="937" t="str">
        <f t="shared" si="1"/>
        <v>Monthly Amort. 10 years @ 7% fixed 3 yrs only</v>
      </c>
      <c r="FI11" s="937" t="str">
        <f t="shared" si="1"/>
        <v>Monthly Amort. 5 years @ 7% fixed 3 yrs only</v>
      </c>
      <c r="FJ11" s="935"/>
      <c r="FK11" s="946" t="s">
        <v>438</v>
      </c>
    </row>
    <row r="12" spans="1:178" s="695" customFormat="1" ht="18" hidden="1" customHeight="1" x14ac:dyDescent="0.35">
      <c r="A12" s="974">
        <v>1</v>
      </c>
      <c r="B12" s="813"/>
      <c r="C12" s="974" t="s">
        <v>373</v>
      </c>
      <c r="D12" s="813">
        <v>1</v>
      </c>
      <c r="E12" s="974" t="s">
        <v>374</v>
      </c>
      <c r="F12" s="996" t="s">
        <v>474</v>
      </c>
      <c r="G12" s="996" t="s">
        <v>375</v>
      </c>
      <c r="H12" s="996">
        <v>13.5</v>
      </c>
      <c r="I12" s="997">
        <v>52000</v>
      </c>
      <c r="J12" s="998">
        <f>H12*I12</f>
        <v>702000</v>
      </c>
      <c r="K12" s="998">
        <v>40000</v>
      </c>
      <c r="L12" s="998"/>
      <c r="M12" s="998"/>
      <c r="N12" s="998">
        <f>SUM(J12:M12)</f>
        <v>742000</v>
      </c>
      <c r="O12" s="998">
        <f>N12*$O$10</f>
        <v>18550</v>
      </c>
      <c r="P12" s="998">
        <f>N12+O12</f>
        <v>760550</v>
      </c>
      <c r="Q12" s="999">
        <f>$Q$10</f>
        <v>1.2500000000000001E-2</v>
      </c>
      <c r="R12" s="998">
        <f>P12*Q12</f>
        <v>9506.875</v>
      </c>
      <c r="S12" s="1000">
        <v>1495.557</v>
      </c>
      <c r="T12" s="1000">
        <f>P12+R12+S12</f>
        <v>771552.43200000003</v>
      </c>
      <c r="U12" s="1000"/>
      <c r="V12" s="1000">
        <f>T12*$V$10</f>
        <v>28933.216199999999</v>
      </c>
      <c r="W12" s="1000">
        <f>T12+U12+V12</f>
        <v>800485.64820000005</v>
      </c>
      <c r="X12" s="1000"/>
      <c r="Y12" s="1000">
        <f>W12+X12</f>
        <v>800485.64820000005</v>
      </c>
      <c r="Z12" s="1000"/>
      <c r="AA12" s="1000">
        <f>Y12+Z12</f>
        <v>800485.64820000005</v>
      </c>
      <c r="AB12" s="1000"/>
      <c r="AC12" s="1000">
        <f>AA12+AB12</f>
        <v>800485.64820000005</v>
      </c>
      <c r="AD12" s="1000"/>
      <c r="AE12" s="1000">
        <f>AC12+AD12</f>
        <v>800485.64820000005</v>
      </c>
      <c r="AF12" s="1000"/>
      <c r="AG12" s="1000">
        <f>AE12+AF12</f>
        <v>800485.64820000005</v>
      </c>
      <c r="AH12" s="1000"/>
      <c r="AI12" s="1000">
        <f>AG12+AH12</f>
        <v>800485.64820000005</v>
      </c>
      <c r="AJ12" s="1000"/>
      <c r="AK12" s="1000">
        <f>SUM(AI12:AJ12)</f>
        <v>800485.64820000005</v>
      </c>
      <c r="AL12" s="1000"/>
      <c r="AM12" s="1000">
        <f>SUM(AK12:AL12)</f>
        <v>800485.64820000005</v>
      </c>
      <c r="AN12" s="1000"/>
      <c r="AO12" s="1000">
        <f>AM12+AN12</f>
        <v>800485.64820000005</v>
      </c>
      <c r="AP12" s="1000"/>
      <c r="AQ12" s="1000">
        <f>AO12+AP12</f>
        <v>800485.64820000005</v>
      </c>
      <c r="AR12" s="1000"/>
      <c r="AS12" s="1000">
        <f>AQ12+AR12</f>
        <v>800485.64820000005</v>
      </c>
      <c r="AT12" s="998">
        <f>AS12</f>
        <v>800485.64820000005</v>
      </c>
      <c r="AU12" s="998">
        <f>AT12*$AU$10</f>
        <v>96058.277784000005</v>
      </c>
      <c r="AV12" s="998">
        <f>AT12*$AV$10</f>
        <v>80048.564820000014</v>
      </c>
      <c r="AW12" s="998">
        <f>SUM(AT12:AV12)</f>
        <v>976592.49080400006</v>
      </c>
      <c r="AX12" s="1001">
        <v>0.15</v>
      </c>
      <c r="AY12" s="998">
        <f>AW12*AX12</f>
        <v>146488.8736206</v>
      </c>
      <c r="AZ12" s="998">
        <v>10000</v>
      </c>
      <c r="BA12" s="998">
        <f>AY12-AZ12</f>
        <v>136488.8736206</v>
      </c>
      <c r="BB12" s="998">
        <f>$BB$7</f>
        <v>1</v>
      </c>
      <c r="BC12" s="997">
        <f>(AY12-AZ12)/BB12</f>
        <v>136488.8736206</v>
      </c>
      <c r="BD12" s="1002">
        <f>100%-AX12</f>
        <v>0.85</v>
      </c>
      <c r="BE12" s="998">
        <f>AW12*BD12</f>
        <v>830103.61718340009</v>
      </c>
      <c r="BF12" s="1003">
        <f>-PMT($BF$10/12,180,BE12,0)</f>
        <v>7461.2059886130055</v>
      </c>
      <c r="BG12" s="1003">
        <f>-PMT($BF$10/12,120,BE12,0)</f>
        <v>9638.2068585043471</v>
      </c>
      <c r="BH12" s="1003">
        <f>-PMT($BF$10/12,60,BE12,0)</f>
        <v>16437.046532910812</v>
      </c>
      <c r="BI12" s="1004"/>
      <c r="BJ12" s="818"/>
      <c r="BK12" s="818"/>
      <c r="BL12" s="907">
        <v>45658</v>
      </c>
      <c r="BM12" s="908">
        <f>(YEAR(BL12)-YEAR($BM$10))*12+MONTH(BL12)-MONTH($BM$10)</f>
        <v>15</v>
      </c>
      <c r="BN12" s="909"/>
      <c r="BO12" s="907">
        <f>BL12+65</f>
        <v>45723</v>
      </c>
      <c r="BP12" s="908">
        <f>(YEAR(BO12)-YEAR($BM$10))*12+MONTH(BO12)-MONTH($BM$10)+$BP$7</f>
        <v>17</v>
      </c>
      <c r="BQ12" s="818"/>
      <c r="BR12" s="1004"/>
      <c r="BS12" s="865" t="s">
        <v>253</v>
      </c>
      <c r="BT12" s="866"/>
      <c r="BU12" s="867">
        <f>BA12</f>
        <v>136488.8736206</v>
      </c>
      <c r="BV12" s="868"/>
      <c r="BW12" s="868"/>
      <c r="BX12" s="869"/>
      <c r="BY12" s="818"/>
      <c r="BZ12" s="1004"/>
      <c r="CA12" s="1016" t="s">
        <v>403</v>
      </c>
      <c r="CB12" s="1016" t="s">
        <v>403</v>
      </c>
      <c r="CC12" s="1017" t="b">
        <f>CA12=CB12</f>
        <v>1</v>
      </c>
      <c r="CD12" s="695" t="s">
        <v>403</v>
      </c>
      <c r="CE12" s="1018" t="b">
        <f>CA12=CD12</f>
        <v>1</v>
      </c>
      <c r="CF12" s="1019" t="s">
        <v>315</v>
      </c>
      <c r="CG12" s="837" t="s">
        <v>409</v>
      </c>
      <c r="CH12" s="835" t="s">
        <v>410</v>
      </c>
      <c r="CI12" s="836" t="s">
        <v>411</v>
      </c>
      <c r="CJ12" s="835" t="s">
        <v>410</v>
      </c>
      <c r="CK12" s="836" t="s">
        <v>411</v>
      </c>
      <c r="CL12" s="835" t="s">
        <v>410</v>
      </c>
      <c r="CM12" s="836" t="s">
        <v>411</v>
      </c>
      <c r="CN12" s="835" t="s">
        <v>410</v>
      </c>
      <c r="CO12" s="836" t="s">
        <v>411</v>
      </c>
      <c r="CP12" s="835" t="s">
        <v>410</v>
      </c>
      <c r="CQ12" s="836" t="s">
        <v>411</v>
      </c>
      <c r="CR12" s="835" t="s">
        <v>410</v>
      </c>
      <c r="CS12" s="836" t="s">
        <v>411</v>
      </c>
      <c r="CT12" s="835" t="s">
        <v>410</v>
      </c>
      <c r="CU12" s="836" t="s">
        <v>411</v>
      </c>
      <c r="CV12" s="835" t="s">
        <v>410</v>
      </c>
      <c r="CW12" s="836" t="s">
        <v>411</v>
      </c>
      <c r="CX12" s="835" t="s">
        <v>410</v>
      </c>
      <c r="CY12" s="836" t="s">
        <v>411</v>
      </c>
      <c r="CZ12" s="835" t="s">
        <v>410</v>
      </c>
      <c r="DA12" s="836" t="s">
        <v>411</v>
      </c>
      <c r="DB12" s="835" t="s">
        <v>410</v>
      </c>
      <c r="DC12" s="836" t="s">
        <v>411</v>
      </c>
      <c r="DD12" s="835" t="s">
        <v>410</v>
      </c>
      <c r="DE12" s="836" t="s">
        <v>411</v>
      </c>
      <c r="DF12" s="835" t="s">
        <v>410</v>
      </c>
      <c r="DG12" s="836" t="s">
        <v>411</v>
      </c>
      <c r="DH12" s="835" t="s">
        <v>410</v>
      </c>
      <c r="DI12" s="836" t="s">
        <v>411</v>
      </c>
      <c r="DJ12" s="835" t="s">
        <v>410</v>
      </c>
      <c r="DK12" s="836" t="s">
        <v>411</v>
      </c>
      <c r="DL12" s="835" t="s">
        <v>410</v>
      </c>
      <c r="DM12" s="836" t="s">
        <v>411</v>
      </c>
      <c r="DN12" s="835" t="s">
        <v>410</v>
      </c>
      <c r="DO12" s="836" t="s">
        <v>411</v>
      </c>
      <c r="DP12" s="835" t="s">
        <v>410</v>
      </c>
      <c r="DQ12" s="836" t="s">
        <v>411</v>
      </c>
      <c r="DR12" s="835" t="s">
        <v>410</v>
      </c>
      <c r="DS12" s="836" t="s">
        <v>452</v>
      </c>
      <c r="DT12" s="835" t="s">
        <v>410</v>
      </c>
      <c r="DU12" s="836" t="s">
        <v>452</v>
      </c>
      <c r="DV12" s="835" t="s">
        <v>410</v>
      </c>
      <c r="DW12" s="836" t="s">
        <v>452</v>
      </c>
      <c r="DX12" s="835" t="s">
        <v>410</v>
      </c>
      <c r="DY12" s="836" t="s">
        <v>452</v>
      </c>
      <c r="DZ12" s="835" t="s">
        <v>410</v>
      </c>
      <c r="EA12" s="836" t="s">
        <v>452</v>
      </c>
      <c r="EB12" s="835" t="s">
        <v>410</v>
      </c>
      <c r="EC12" s="836" t="s">
        <v>452</v>
      </c>
      <c r="ED12" s="835" t="s">
        <v>410</v>
      </c>
      <c r="EE12" s="836" t="s">
        <v>452</v>
      </c>
      <c r="EF12" s="835" t="s">
        <v>410</v>
      </c>
      <c r="EG12" s="836" t="s">
        <v>452</v>
      </c>
      <c r="EH12" s="835" t="s">
        <v>410</v>
      </c>
      <c r="EI12" s="836" t="s">
        <v>452</v>
      </c>
      <c r="EJ12" s="835" t="s">
        <v>410</v>
      </c>
      <c r="EK12" s="836" t="s">
        <v>452</v>
      </c>
      <c r="EL12" s="835" t="s">
        <v>410</v>
      </c>
      <c r="EM12" s="1092" t="s">
        <v>452</v>
      </c>
      <c r="EN12" s="1091" t="s">
        <v>410</v>
      </c>
      <c r="EO12" s="1093" t="s">
        <v>452</v>
      </c>
      <c r="EP12" s="1094" t="s">
        <v>410</v>
      </c>
      <c r="ER12" s="947"/>
      <c r="ES12" s="947"/>
      <c r="EU12" s="947"/>
      <c r="EW12" s="1020"/>
      <c r="EX12" s="938">
        <f t="shared" ref="EX12:EX43" si="2">AW12</f>
        <v>976592.49080400006</v>
      </c>
      <c r="EY12" s="942">
        <f t="shared" ref="EY12:EY43" si="3">AX12</f>
        <v>0.15</v>
      </c>
      <c r="EZ12" s="938">
        <f t="shared" ref="EZ12:EZ43" si="4">AY12</f>
        <v>146488.8736206</v>
      </c>
      <c r="FA12" s="938">
        <f t="shared" ref="FA12:FA43" si="5">AZ12</f>
        <v>10000</v>
      </c>
      <c r="FB12" s="938">
        <f t="shared" ref="FB12:FB43" si="6">BA12</f>
        <v>136488.8736206</v>
      </c>
      <c r="FC12" s="813">
        <f>$FC$7</f>
        <v>25</v>
      </c>
      <c r="FD12" s="814">
        <f>FB12/FC12</f>
        <v>5459.5549448239999</v>
      </c>
      <c r="FE12" s="942">
        <f>100%-EY12</f>
        <v>0.85</v>
      </c>
      <c r="FF12" s="938">
        <f>EX12*FE12</f>
        <v>830103.61718340009</v>
      </c>
      <c r="FG12" s="940">
        <f>-PMT(7%/12,180,FF12,0)</f>
        <v>7461.2059886130055</v>
      </c>
      <c r="FH12" s="940">
        <f>-PMT(7%/12,120,FF12,0)</f>
        <v>9638.2068585043471</v>
      </c>
      <c r="FI12" s="940">
        <f>-PMT(7%/12,60,FF12,0)</f>
        <v>16437.046532910812</v>
      </c>
      <c r="FJ12" s="840"/>
      <c r="FK12" s="936"/>
      <c r="FN12" s="1030"/>
      <c r="FO12" s="1030"/>
      <c r="FP12" s="1030"/>
      <c r="FU12" s="1030"/>
      <c r="FV12" s="1030"/>
    </row>
    <row r="13" spans="1:178" s="695" customFormat="1" ht="14.5" hidden="1" x14ac:dyDescent="0.35">
      <c r="A13" s="974">
        <f>A12+1</f>
        <v>2</v>
      </c>
      <c r="B13" s="813"/>
      <c r="C13" s="974" t="s">
        <v>373</v>
      </c>
      <c r="D13" s="813">
        <f>D12+1</f>
        <v>2</v>
      </c>
      <c r="E13" s="974" t="s">
        <v>374</v>
      </c>
      <c r="F13" s="996" t="s">
        <v>475</v>
      </c>
      <c r="G13" s="996" t="s">
        <v>375</v>
      </c>
      <c r="H13" s="996">
        <v>13.5</v>
      </c>
      <c r="I13" s="997">
        <v>52000</v>
      </c>
      <c r="J13" s="998">
        <f t="shared" ref="J13:J76" si="7">H13*I13</f>
        <v>702000</v>
      </c>
      <c r="K13" s="998">
        <v>40000</v>
      </c>
      <c r="L13" s="998">
        <v>50000</v>
      </c>
      <c r="M13" s="998"/>
      <c r="N13" s="998">
        <f t="shared" ref="N13:N76" si="8">SUM(J13:M13)</f>
        <v>792000</v>
      </c>
      <c r="O13" s="998">
        <f t="shared" ref="O13:O76" si="9">N13*$O$10</f>
        <v>19800</v>
      </c>
      <c r="P13" s="998">
        <f t="shared" ref="P13:P76" si="10">N13+O13</f>
        <v>811800</v>
      </c>
      <c r="Q13" s="999">
        <f t="shared" ref="Q13:Q76" si="11">$Q$10</f>
        <v>1.2500000000000001E-2</v>
      </c>
      <c r="R13" s="998">
        <f t="shared" ref="R13:R76" si="12">P13*Q13</f>
        <v>10147.5</v>
      </c>
      <c r="S13" s="1000" t="s">
        <v>450</v>
      </c>
      <c r="T13" s="1000">
        <f t="shared" ref="T13:T76" si="13">P13+R13+S13</f>
        <v>821947.5</v>
      </c>
      <c r="U13" s="1000"/>
      <c r="V13" s="1000">
        <f t="shared" ref="V13:V76" si="14">T13*$V$10</f>
        <v>30823.03125</v>
      </c>
      <c r="W13" s="1000">
        <f t="shared" ref="W13:W76" si="15">T13+U13+V13</f>
        <v>852770.53125</v>
      </c>
      <c r="X13" s="1000"/>
      <c r="Y13" s="1000">
        <f t="shared" ref="Y13:Y76" si="16">W13+X13</f>
        <v>852770.53125</v>
      </c>
      <c r="Z13" s="1000"/>
      <c r="AA13" s="1000">
        <f t="shared" ref="AA13:AA76" si="17">Y13+Z13</f>
        <v>852770.53125</v>
      </c>
      <c r="AB13" s="1000"/>
      <c r="AC13" s="1000">
        <f t="shared" ref="AC13:AC76" si="18">AA13+AB13</f>
        <v>852770.53125</v>
      </c>
      <c r="AD13" s="1000"/>
      <c r="AE13" s="1000">
        <f t="shared" ref="AE13:AE76" si="19">AC13+AD13</f>
        <v>852770.53125</v>
      </c>
      <c r="AF13" s="1000"/>
      <c r="AG13" s="1000">
        <f t="shared" ref="AG13:AG76" si="20">AE13+AF13</f>
        <v>852770.53125</v>
      </c>
      <c r="AH13" s="1000"/>
      <c r="AI13" s="1000">
        <f t="shared" ref="AI13:AI76" si="21">AG13+AH13</f>
        <v>852770.53125</v>
      </c>
      <c r="AJ13" s="1000"/>
      <c r="AK13" s="1000">
        <f t="shared" ref="AK13:AK76" si="22">SUM(AI13:AJ13)</f>
        <v>852770.53125</v>
      </c>
      <c r="AL13" s="1000"/>
      <c r="AM13" s="1000">
        <f t="shared" ref="AM13:AM76" si="23">SUM(AK13:AL13)</f>
        <v>852770.53125</v>
      </c>
      <c r="AN13" s="1000"/>
      <c r="AO13" s="1000">
        <f t="shared" ref="AO13:AO76" si="24">AM13+AN13</f>
        <v>852770.53125</v>
      </c>
      <c r="AP13" s="1000"/>
      <c r="AQ13" s="1000">
        <f t="shared" ref="AQ13:AQ76" si="25">AO13+AP13</f>
        <v>852770.53125</v>
      </c>
      <c r="AR13" s="1000"/>
      <c r="AS13" s="1000">
        <f t="shared" ref="AS13:AS76" si="26">AQ13+AR13</f>
        <v>852770.53125</v>
      </c>
      <c r="AT13" s="998">
        <f t="shared" ref="AT13:AT76" si="27">AS13</f>
        <v>852770.53125</v>
      </c>
      <c r="AU13" s="998">
        <f t="shared" ref="AU13:AU76" si="28">AT13*$AU$10</f>
        <v>102332.46375</v>
      </c>
      <c r="AV13" s="998">
        <f t="shared" ref="AV13:AV76" si="29">AT13*$AV$10</f>
        <v>85277.053125000006</v>
      </c>
      <c r="AW13" s="998">
        <f>SUM(AT13:AV13)</f>
        <v>1040380.048125</v>
      </c>
      <c r="AX13" s="1001">
        <v>0.15</v>
      </c>
      <c r="AY13" s="998">
        <f>AW13*AX13</f>
        <v>156057.00721874999</v>
      </c>
      <c r="AZ13" s="998">
        <v>10000</v>
      </c>
      <c r="BA13" s="998">
        <f>AY13-AZ13</f>
        <v>146057.00721874999</v>
      </c>
      <c r="BB13" s="998">
        <f t="shared" ref="BB13:BB37" si="30">$BB$7</f>
        <v>1</v>
      </c>
      <c r="BC13" s="997">
        <f>(AY13-AZ13)/BB13</f>
        <v>146057.00721874999</v>
      </c>
      <c r="BD13" s="1002">
        <f t="shared" ref="BD13:BD76" si="31">100%-AX13</f>
        <v>0.85</v>
      </c>
      <c r="BE13" s="998">
        <f>AW13*BD13</f>
        <v>884323.04090625001</v>
      </c>
      <c r="BF13" s="1003">
        <f t="shared" ref="BF13:BF76" si="32">-PMT($BF$10/12,180,BE13,0)</f>
        <v>7948.5454973272472</v>
      </c>
      <c r="BG13" s="1003">
        <f t="shared" ref="BG13:BG76" si="33">-PMT($BF$10/12,120,BE13,0)</f>
        <v>10267.740341761377</v>
      </c>
      <c r="BH13" s="1003">
        <f t="shared" ref="BH13:BH76" si="34">-PMT($BF$10/12,60,BE13,0)</f>
        <v>17510.656106790302</v>
      </c>
      <c r="BI13" s="1004"/>
      <c r="BJ13" s="818"/>
      <c r="BK13" s="818"/>
      <c r="BL13" s="907">
        <f>$BL$12</f>
        <v>45658</v>
      </c>
      <c r="BM13" s="908">
        <f t="shared" ref="BM13:BM76" si="35">(YEAR(BL13)-YEAR($BM$10))*12+MONTH(BL13)-MONTH($BM$10)</f>
        <v>15</v>
      </c>
      <c r="BN13" s="909"/>
      <c r="BO13" s="907">
        <f t="shared" ref="BO13:BO76" si="36">BL13+65</f>
        <v>45723</v>
      </c>
      <c r="BP13" s="908">
        <f t="shared" ref="BP13:BP37" si="37">(YEAR(BO13)-YEAR($BM$10))*12+MONTH(BO13)-MONTH($BM$10)+$BP$7</f>
        <v>17</v>
      </c>
      <c r="BQ13" s="818"/>
      <c r="BR13" s="1004"/>
      <c r="BS13" s="870"/>
      <c r="BT13" s="871" t="s">
        <v>308</v>
      </c>
      <c r="BU13" s="872" t="s">
        <v>301</v>
      </c>
      <c r="BV13" s="872" t="s">
        <v>302</v>
      </c>
      <c r="BW13" s="872" t="s">
        <v>303</v>
      </c>
      <c r="BX13" s="873" t="s">
        <v>304</v>
      </c>
      <c r="BY13" s="818"/>
      <c r="BZ13" s="1004"/>
      <c r="CA13" s="1016" t="s">
        <v>262</v>
      </c>
      <c r="CB13" s="1021" t="s">
        <v>262</v>
      </c>
      <c r="CC13" s="1017" t="b">
        <f t="shared" ref="CC13:CC76" si="38">CA13=CB13</f>
        <v>1</v>
      </c>
      <c r="CD13" s="695" t="s">
        <v>262</v>
      </c>
      <c r="CE13" s="1018" t="b">
        <f t="shared" ref="CE13:CE76" si="39">CA13=CD13</f>
        <v>1</v>
      </c>
      <c r="CF13" s="1019" t="s">
        <v>412</v>
      </c>
      <c r="CG13" s="1022">
        <v>22</v>
      </c>
      <c r="CH13" s="1023">
        <f>EDATE($BP$10,CG13)</f>
        <v>45870</v>
      </c>
      <c r="CI13" s="1024">
        <v>30</v>
      </c>
      <c r="CJ13" s="1023">
        <f>EDATE(CJ10,CI13)</f>
        <v>45962</v>
      </c>
      <c r="CK13" s="1024">
        <f>CI13-CK10</f>
        <v>28</v>
      </c>
      <c r="CL13" s="1023">
        <f>EDATE(CL10,CK13)</f>
        <v>45962</v>
      </c>
      <c r="CM13" s="1024">
        <v>30</v>
      </c>
      <c r="CN13" s="1023">
        <f>EDATE(CN10,CM13)</f>
        <v>46054</v>
      </c>
      <c r="CO13" s="1024">
        <v>29</v>
      </c>
      <c r="CP13" s="1023">
        <f>EDATE(CP10,CO13)</f>
        <v>46054</v>
      </c>
      <c r="CQ13" s="1024">
        <v>28</v>
      </c>
      <c r="CR13" s="1023">
        <f>EDATE(CR10,CQ13)</f>
        <v>46054</v>
      </c>
      <c r="CS13" s="1024">
        <f>CQ13-1</f>
        <v>27</v>
      </c>
      <c r="CT13" s="1023">
        <f>EDATE(CT10,CS13)</f>
        <v>46054</v>
      </c>
      <c r="CU13" s="1024">
        <v>24</v>
      </c>
      <c r="CV13" s="1023">
        <f>EDATE(CV10,CU13)</f>
        <v>45962</v>
      </c>
      <c r="CW13" s="1024">
        <f>CU13-1</f>
        <v>23</v>
      </c>
      <c r="CX13" s="1023">
        <f>EDATE(CX10,CW13)</f>
        <v>45962</v>
      </c>
      <c r="CY13" s="1024">
        <f>CW13-1</f>
        <v>22</v>
      </c>
      <c r="CZ13" s="1023">
        <f>EDATE(CZ10,CY13)</f>
        <v>45962</v>
      </c>
      <c r="DA13" s="1024">
        <f>CY13-1</f>
        <v>21</v>
      </c>
      <c r="DB13" s="1023">
        <f>EDATE(DB10,DA13)</f>
        <v>45962</v>
      </c>
      <c r="DC13" s="1024">
        <v>20</v>
      </c>
      <c r="DD13" s="1023">
        <v>45962</v>
      </c>
      <c r="DE13" s="1024">
        <v>19</v>
      </c>
      <c r="DF13" s="1023">
        <v>45962</v>
      </c>
      <c r="DG13" s="1024">
        <v>18</v>
      </c>
      <c r="DH13" s="1023">
        <v>45962</v>
      </c>
      <c r="DI13" s="1024">
        <v>17</v>
      </c>
      <c r="DJ13" s="1023">
        <v>45962</v>
      </c>
      <c r="DK13" s="1024">
        <v>16</v>
      </c>
      <c r="DL13" s="1023">
        <v>45962</v>
      </c>
      <c r="DM13" s="1024">
        <f>DK13-1</f>
        <v>15</v>
      </c>
      <c r="DN13" s="1023">
        <v>45962</v>
      </c>
      <c r="DO13" s="1024">
        <f>DM13-1</f>
        <v>14</v>
      </c>
      <c r="DP13" s="1023">
        <v>45962</v>
      </c>
      <c r="DQ13" s="1024">
        <f>DO13-1</f>
        <v>13</v>
      </c>
      <c r="DR13" s="1023">
        <v>45962</v>
      </c>
      <c r="DS13" s="1025">
        <v>9</v>
      </c>
      <c r="DT13" s="1023">
        <v>45870</v>
      </c>
      <c r="DU13" s="1025">
        <f>DS13-1</f>
        <v>8</v>
      </c>
      <c r="DV13" s="1023">
        <v>45870</v>
      </c>
      <c r="DW13" s="1025">
        <f>DU13-1</f>
        <v>7</v>
      </c>
      <c r="DX13" s="1023">
        <v>45870</v>
      </c>
      <c r="DY13" s="1025">
        <f>DW13-1</f>
        <v>6</v>
      </c>
      <c r="DZ13" s="1023">
        <v>45870</v>
      </c>
      <c r="EA13" s="1025">
        <f>DY13-1</f>
        <v>5</v>
      </c>
      <c r="EB13" s="1023">
        <v>45870</v>
      </c>
      <c r="EC13" s="1025">
        <f>EA13-1</f>
        <v>4</v>
      </c>
      <c r="ED13" s="1023">
        <v>45870</v>
      </c>
      <c r="EE13" s="1025">
        <f>EC13</f>
        <v>4</v>
      </c>
      <c r="EF13" s="1023">
        <v>45870</v>
      </c>
      <c r="EG13" s="1025">
        <f>EE13-1</f>
        <v>3</v>
      </c>
      <c r="EH13" s="1023">
        <v>45870</v>
      </c>
      <c r="EI13" s="1025">
        <f>EG13-1</f>
        <v>2</v>
      </c>
      <c r="EJ13" s="1023">
        <v>45870</v>
      </c>
      <c r="EK13" s="1025">
        <v>4</v>
      </c>
      <c r="EL13" s="1023">
        <f>DATE(2025,11,20)</f>
        <v>45981</v>
      </c>
      <c r="EM13" s="1025">
        <v>2</v>
      </c>
      <c r="EN13" s="1023">
        <f>DATE(2025,10,20)</f>
        <v>45950</v>
      </c>
      <c r="EO13" s="1025">
        <v>1</v>
      </c>
      <c r="EP13" s="1023">
        <f>DATE(2025,10,20)</f>
        <v>45950</v>
      </c>
      <c r="ER13" s="1026"/>
      <c r="ES13" s="1026"/>
      <c r="EU13" s="1026"/>
      <c r="EW13" s="1020"/>
      <c r="EX13" s="938">
        <f t="shared" si="2"/>
        <v>1040380.048125</v>
      </c>
      <c r="EY13" s="942">
        <f t="shared" si="3"/>
        <v>0.15</v>
      </c>
      <c r="EZ13" s="938">
        <f t="shared" si="4"/>
        <v>156057.00721874999</v>
      </c>
      <c r="FA13" s="938">
        <f t="shared" si="5"/>
        <v>10000</v>
      </c>
      <c r="FB13" s="938">
        <f t="shared" si="6"/>
        <v>146057.00721874999</v>
      </c>
      <c r="FC13" s="813">
        <f t="shared" ref="FC13:FC37" si="40">$FC$7</f>
        <v>25</v>
      </c>
      <c r="FD13" s="814">
        <f t="shared" ref="FD13:FD76" si="41">FB13/FC13</f>
        <v>5842.2802887499993</v>
      </c>
      <c r="FE13" s="942">
        <f t="shared" ref="FE13:FE76" si="42">100%-EY13</f>
        <v>0.85</v>
      </c>
      <c r="FF13" s="938">
        <f t="shared" ref="FF13:FF76" si="43">EX13*FE13</f>
        <v>884323.04090625001</v>
      </c>
      <c r="FG13" s="940">
        <f t="shared" ref="FG13:FG76" si="44">-PMT(7%/12,180,FF13,0)</f>
        <v>7948.5454973272472</v>
      </c>
      <c r="FH13" s="940">
        <f t="shared" ref="FH13:FH76" si="45">-PMT(7%/12,120,FF13,0)</f>
        <v>10267.740341761377</v>
      </c>
      <c r="FI13" s="940">
        <f t="shared" ref="FI13:FI76" si="46">-PMT(7%/12,60,FF13,0)</f>
        <v>17510.656106790302</v>
      </c>
      <c r="FJ13" s="840"/>
      <c r="FK13" s="936"/>
      <c r="FN13" s="1030"/>
      <c r="FO13" s="1030"/>
      <c r="FP13" s="1030"/>
      <c r="FU13" s="1030"/>
      <c r="FV13" s="1030"/>
    </row>
    <row r="14" spans="1:178" s="695" customFormat="1" ht="14.5" hidden="1" x14ac:dyDescent="0.35">
      <c r="A14" s="974">
        <f t="shared" ref="A14:A77" si="47">A13+1</f>
        <v>3</v>
      </c>
      <c r="B14" s="813"/>
      <c r="C14" s="974" t="s">
        <v>373</v>
      </c>
      <c r="D14" s="813">
        <f t="shared" ref="D14:D37" si="48">D13+1</f>
        <v>3</v>
      </c>
      <c r="E14" s="974" t="s">
        <v>374</v>
      </c>
      <c r="F14" s="996" t="s">
        <v>476</v>
      </c>
      <c r="G14" s="996" t="s">
        <v>375</v>
      </c>
      <c r="H14" s="996">
        <v>13.5</v>
      </c>
      <c r="I14" s="997">
        <v>52000</v>
      </c>
      <c r="J14" s="998">
        <f t="shared" si="7"/>
        <v>702000</v>
      </c>
      <c r="K14" s="998">
        <v>40000</v>
      </c>
      <c r="L14" s="998">
        <v>50000</v>
      </c>
      <c r="M14" s="998"/>
      <c r="N14" s="998">
        <f t="shared" si="8"/>
        <v>792000</v>
      </c>
      <c r="O14" s="998">
        <f>N14*$O$10</f>
        <v>19800</v>
      </c>
      <c r="P14" s="998">
        <f t="shared" si="10"/>
        <v>811800</v>
      </c>
      <c r="Q14" s="999">
        <f t="shared" si="11"/>
        <v>1.2500000000000001E-2</v>
      </c>
      <c r="R14" s="998">
        <f t="shared" si="12"/>
        <v>10147.5</v>
      </c>
      <c r="S14" s="1000" t="s">
        <v>450</v>
      </c>
      <c r="T14" s="1000">
        <f t="shared" si="13"/>
        <v>821947.5</v>
      </c>
      <c r="U14" s="1000"/>
      <c r="V14" s="1000">
        <f t="shared" si="14"/>
        <v>30823.03125</v>
      </c>
      <c r="W14" s="1000">
        <f t="shared" si="15"/>
        <v>852770.53125</v>
      </c>
      <c r="X14" s="1000"/>
      <c r="Y14" s="1000">
        <f t="shared" si="16"/>
        <v>852770.53125</v>
      </c>
      <c r="Z14" s="1000"/>
      <c r="AA14" s="1000">
        <f t="shared" si="17"/>
        <v>852770.53125</v>
      </c>
      <c r="AB14" s="1000"/>
      <c r="AC14" s="1000">
        <f t="shared" si="18"/>
        <v>852770.53125</v>
      </c>
      <c r="AD14" s="1000"/>
      <c r="AE14" s="1000">
        <f t="shared" si="19"/>
        <v>852770.53125</v>
      </c>
      <c r="AF14" s="1000"/>
      <c r="AG14" s="1000">
        <f t="shared" si="20"/>
        <v>852770.53125</v>
      </c>
      <c r="AH14" s="1000"/>
      <c r="AI14" s="1000">
        <f t="shared" si="21"/>
        <v>852770.53125</v>
      </c>
      <c r="AJ14" s="1000"/>
      <c r="AK14" s="1000">
        <f t="shared" si="22"/>
        <v>852770.53125</v>
      </c>
      <c r="AL14" s="1000"/>
      <c r="AM14" s="1000">
        <f t="shared" si="23"/>
        <v>852770.53125</v>
      </c>
      <c r="AN14" s="1000"/>
      <c r="AO14" s="1000">
        <f t="shared" si="24"/>
        <v>852770.53125</v>
      </c>
      <c r="AP14" s="1000"/>
      <c r="AQ14" s="1000">
        <f t="shared" si="25"/>
        <v>852770.53125</v>
      </c>
      <c r="AR14" s="1000"/>
      <c r="AS14" s="1000">
        <f t="shared" si="26"/>
        <v>852770.53125</v>
      </c>
      <c r="AT14" s="998">
        <f t="shared" si="27"/>
        <v>852770.53125</v>
      </c>
      <c r="AU14" s="998">
        <f>AT14*$AU$10</f>
        <v>102332.46375</v>
      </c>
      <c r="AV14" s="998">
        <f t="shared" si="29"/>
        <v>85277.053125000006</v>
      </c>
      <c r="AW14" s="998">
        <f>SUM(AT14:AV14)</f>
        <v>1040380.048125</v>
      </c>
      <c r="AX14" s="1001">
        <v>0.15</v>
      </c>
      <c r="AY14" s="998">
        <f t="shared" ref="AY14:AY77" si="49">AW14*AX14</f>
        <v>156057.00721874999</v>
      </c>
      <c r="AZ14" s="998">
        <v>10000</v>
      </c>
      <c r="BA14" s="998">
        <f t="shared" ref="BA14:BA77" si="50">AY14-AZ14</f>
        <v>146057.00721874999</v>
      </c>
      <c r="BB14" s="998">
        <f t="shared" si="30"/>
        <v>1</v>
      </c>
      <c r="BC14" s="997">
        <f t="shared" ref="BC14:BC77" si="51">(AY14-AZ14)/BB14</f>
        <v>146057.00721874999</v>
      </c>
      <c r="BD14" s="1002">
        <f t="shared" si="31"/>
        <v>0.85</v>
      </c>
      <c r="BE14" s="998">
        <f t="shared" ref="BE14:BE77" si="52">AW14*BD14</f>
        <v>884323.04090625001</v>
      </c>
      <c r="BF14" s="1003">
        <f t="shared" si="32"/>
        <v>7948.5454973272472</v>
      </c>
      <c r="BG14" s="1003">
        <f t="shared" si="33"/>
        <v>10267.740341761377</v>
      </c>
      <c r="BH14" s="1003">
        <f t="shared" si="34"/>
        <v>17510.656106790302</v>
      </c>
      <c r="BI14" s="1004"/>
      <c r="BJ14" s="818"/>
      <c r="BK14" s="818"/>
      <c r="BL14" s="907">
        <f t="shared" ref="BL14:BL37" si="53">$BL$12</f>
        <v>45658</v>
      </c>
      <c r="BM14" s="908">
        <f t="shared" si="35"/>
        <v>15</v>
      </c>
      <c r="BN14" s="909"/>
      <c r="BO14" s="907">
        <f t="shared" si="36"/>
        <v>45723</v>
      </c>
      <c r="BP14" s="908">
        <f t="shared" si="37"/>
        <v>17</v>
      </c>
      <c r="BQ14" s="818"/>
      <c r="BR14" s="1004"/>
      <c r="BS14" s="870" t="s">
        <v>305</v>
      </c>
      <c r="BT14" s="874"/>
      <c r="BU14" s="875"/>
      <c r="BV14" s="876">
        <v>0.25</v>
      </c>
      <c r="BW14" s="576">
        <f>BU12*BV14</f>
        <v>34122.218405150001</v>
      </c>
      <c r="BX14" s="877" t="e">
        <f t="shared" ref="BX14:BX16" si="54">BW14/BU14</f>
        <v>#DIV/0!</v>
      </c>
      <c r="BY14" s="818"/>
      <c r="BZ14" s="1004"/>
      <c r="CA14" s="1016" t="s">
        <v>262</v>
      </c>
      <c r="CB14" s="1021" t="s">
        <v>262</v>
      </c>
      <c r="CC14" s="1017" t="b">
        <f t="shared" si="38"/>
        <v>1</v>
      </c>
      <c r="CD14" s="695" t="s">
        <v>262</v>
      </c>
      <c r="CE14" s="1018" t="b">
        <f t="shared" si="39"/>
        <v>1</v>
      </c>
      <c r="CF14" s="1019" t="s">
        <v>413</v>
      </c>
      <c r="CG14" s="1025">
        <v>28</v>
      </c>
      <c r="CH14" s="1023">
        <f>EDATE($BP$10,CG14)</f>
        <v>46054</v>
      </c>
      <c r="CI14" s="1024">
        <v>35</v>
      </c>
      <c r="CJ14" s="1023">
        <f>EDATE(CJ10,CI14)</f>
        <v>46113</v>
      </c>
      <c r="CK14" s="1024">
        <f>CI14-CK10</f>
        <v>33</v>
      </c>
      <c r="CL14" s="1023">
        <f>EDATE(CL10,CK14)</f>
        <v>46113</v>
      </c>
      <c r="CM14" s="1024">
        <v>35</v>
      </c>
      <c r="CN14" s="1023">
        <f>EDATE(CN10,CM14)</f>
        <v>46204</v>
      </c>
      <c r="CO14" s="1024">
        <v>34</v>
      </c>
      <c r="CP14" s="1023">
        <f>EDATE(CP10,CO14)</f>
        <v>46204</v>
      </c>
      <c r="CQ14" s="1024">
        <f>33+3</f>
        <v>36</v>
      </c>
      <c r="CR14" s="1023">
        <f>EDATE(CR10,CQ14)</f>
        <v>46296</v>
      </c>
      <c r="CS14" s="1024">
        <f>CQ14-1</f>
        <v>35</v>
      </c>
      <c r="CT14" s="1023">
        <f>EDATE(CT10,CS14)</f>
        <v>46296</v>
      </c>
      <c r="CU14" s="1024">
        <v>33</v>
      </c>
      <c r="CV14" s="1023">
        <f>EDATE(CV10,CU14)</f>
        <v>46235</v>
      </c>
      <c r="CW14" s="1024">
        <f>CU14-1</f>
        <v>32</v>
      </c>
      <c r="CX14" s="1023">
        <f>EDATE(CX10,CW14)</f>
        <v>46235</v>
      </c>
      <c r="CY14" s="1024">
        <f>CW14-1</f>
        <v>31</v>
      </c>
      <c r="CZ14" s="1023">
        <f>EDATE(CZ10,CY14)</f>
        <v>46235</v>
      </c>
      <c r="DA14" s="1024">
        <f>CY14-1</f>
        <v>30</v>
      </c>
      <c r="DB14" s="1023">
        <f>EDATE(DB10,DA14)</f>
        <v>46235</v>
      </c>
      <c r="DC14" s="1024">
        <v>29</v>
      </c>
      <c r="DD14" s="1023">
        <v>46235</v>
      </c>
      <c r="DE14" s="1024">
        <v>28</v>
      </c>
      <c r="DF14" s="1023">
        <v>46235</v>
      </c>
      <c r="DG14" s="1024">
        <v>27</v>
      </c>
      <c r="DH14" s="1023">
        <v>46235</v>
      </c>
      <c r="DI14" s="1024">
        <v>26</v>
      </c>
      <c r="DJ14" s="1023">
        <v>46235</v>
      </c>
      <c r="DK14" s="1024">
        <v>25</v>
      </c>
      <c r="DL14" s="1023">
        <v>46235</v>
      </c>
      <c r="DM14" s="1024">
        <f>DK14-1</f>
        <v>24</v>
      </c>
      <c r="DN14" s="1023">
        <v>46235</v>
      </c>
      <c r="DO14" s="1024">
        <f>DM14-1</f>
        <v>23</v>
      </c>
      <c r="DP14" s="1023">
        <v>46235</v>
      </c>
      <c r="DQ14" s="1024">
        <f>DO14-1</f>
        <v>22</v>
      </c>
      <c r="DR14" s="1023">
        <v>46235</v>
      </c>
      <c r="DS14" s="1025">
        <v>20</v>
      </c>
      <c r="DT14" s="1023">
        <v>46204</v>
      </c>
      <c r="DU14" s="1025">
        <f>DS14-1</f>
        <v>19</v>
      </c>
      <c r="DV14" s="1023">
        <v>46204</v>
      </c>
      <c r="DW14" s="1025">
        <f>DU14-1</f>
        <v>18</v>
      </c>
      <c r="DX14" s="1023">
        <v>46204</v>
      </c>
      <c r="DY14" s="1025">
        <f>DW14-1</f>
        <v>17</v>
      </c>
      <c r="DZ14" s="1023">
        <v>46204</v>
      </c>
      <c r="EA14" s="1025">
        <f>DY14-1</f>
        <v>16</v>
      </c>
      <c r="EB14" s="1023">
        <v>46204</v>
      </c>
      <c r="EC14" s="1025">
        <f>EA14-1</f>
        <v>15</v>
      </c>
      <c r="ED14" s="1023">
        <v>46204</v>
      </c>
      <c r="EE14" s="1025">
        <v>18</v>
      </c>
      <c r="EF14" s="1023">
        <v>46204</v>
      </c>
      <c r="EG14" s="1025">
        <f t="shared" ref="EG14" si="55">EE14-1</f>
        <v>17</v>
      </c>
      <c r="EH14" s="1023">
        <v>46235</v>
      </c>
      <c r="EI14" s="1025">
        <f t="shared" ref="EI14" si="56">EG14-1</f>
        <v>16</v>
      </c>
      <c r="EJ14" s="1023">
        <v>46235</v>
      </c>
      <c r="EK14" s="1025">
        <v>19</v>
      </c>
      <c r="EL14" s="1023">
        <v>46419</v>
      </c>
      <c r="EM14" s="1025">
        <v>19</v>
      </c>
      <c r="EN14" s="1023">
        <v>46419</v>
      </c>
      <c r="EO14" s="1025">
        <v>18</v>
      </c>
      <c r="EP14" s="1023">
        <v>46419</v>
      </c>
      <c r="ER14" s="1026"/>
      <c r="ES14" s="1026"/>
      <c r="EU14" s="1026"/>
      <c r="EW14" s="1020"/>
      <c r="EX14" s="938">
        <f t="shared" si="2"/>
        <v>1040380.048125</v>
      </c>
      <c r="EY14" s="942">
        <f t="shared" si="3"/>
        <v>0.15</v>
      </c>
      <c r="EZ14" s="938">
        <f t="shared" si="4"/>
        <v>156057.00721874999</v>
      </c>
      <c r="FA14" s="938">
        <f t="shared" si="5"/>
        <v>10000</v>
      </c>
      <c r="FB14" s="938">
        <f t="shared" si="6"/>
        <v>146057.00721874999</v>
      </c>
      <c r="FC14" s="813">
        <f t="shared" si="40"/>
        <v>25</v>
      </c>
      <c r="FD14" s="814">
        <f t="shared" si="41"/>
        <v>5842.2802887499993</v>
      </c>
      <c r="FE14" s="942">
        <f t="shared" si="42"/>
        <v>0.85</v>
      </c>
      <c r="FF14" s="938">
        <f t="shared" si="43"/>
        <v>884323.04090625001</v>
      </c>
      <c r="FG14" s="940">
        <f t="shared" si="44"/>
        <v>7948.5454973272472</v>
      </c>
      <c r="FH14" s="940">
        <f t="shared" si="45"/>
        <v>10267.740341761377</v>
      </c>
      <c r="FI14" s="940">
        <f t="shared" si="46"/>
        <v>17510.656106790302</v>
      </c>
      <c r="FJ14" s="840"/>
      <c r="FK14" s="936"/>
      <c r="FN14" s="1030"/>
      <c r="FO14" s="1030"/>
      <c r="FP14" s="1030"/>
      <c r="FU14" s="1030"/>
      <c r="FV14" s="1030"/>
    </row>
    <row r="15" spans="1:178" s="695" customFormat="1" ht="14.5" hidden="1" x14ac:dyDescent="0.35">
      <c r="A15" s="974">
        <f t="shared" si="47"/>
        <v>4</v>
      </c>
      <c r="B15" s="813"/>
      <c r="C15" s="974" t="s">
        <v>373</v>
      </c>
      <c r="D15" s="813">
        <f t="shared" si="48"/>
        <v>4</v>
      </c>
      <c r="E15" s="974" t="s">
        <v>374</v>
      </c>
      <c r="F15" s="996" t="s">
        <v>477</v>
      </c>
      <c r="G15" s="996" t="s">
        <v>375</v>
      </c>
      <c r="H15" s="996">
        <v>13.5</v>
      </c>
      <c r="I15" s="997">
        <v>52000</v>
      </c>
      <c r="J15" s="998">
        <f t="shared" si="7"/>
        <v>702000</v>
      </c>
      <c r="K15" s="998">
        <v>40000</v>
      </c>
      <c r="L15" s="998">
        <v>50000</v>
      </c>
      <c r="M15" s="998"/>
      <c r="N15" s="998">
        <f t="shared" si="8"/>
        <v>792000</v>
      </c>
      <c r="O15" s="998">
        <f t="shared" si="9"/>
        <v>19800</v>
      </c>
      <c r="P15" s="998">
        <f t="shared" si="10"/>
        <v>811800</v>
      </c>
      <c r="Q15" s="999">
        <f t="shared" si="11"/>
        <v>1.2500000000000001E-2</v>
      </c>
      <c r="R15" s="998">
        <f t="shared" si="12"/>
        <v>10147.5</v>
      </c>
      <c r="S15" s="1000" t="s">
        <v>450</v>
      </c>
      <c r="T15" s="1000">
        <f t="shared" si="13"/>
        <v>821947.5</v>
      </c>
      <c r="U15" s="1000"/>
      <c r="V15" s="1000">
        <f t="shared" si="14"/>
        <v>30823.03125</v>
      </c>
      <c r="W15" s="1000">
        <f t="shared" si="15"/>
        <v>852770.53125</v>
      </c>
      <c r="X15" s="1000"/>
      <c r="Y15" s="1000">
        <f t="shared" si="16"/>
        <v>852770.53125</v>
      </c>
      <c r="Z15" s="1000"/>
      <c r="AA15" s="1000">
        <f t="shared" si="17"/>
        <v>852770.53125</v>
      </c>
      <c r="AB15" s="1000"/>
      <c r="AC15" s="1000">
        <f t="shared" si="18"/>
        <v>852770.53125</v>
      </c>
      <c r="AD15" s="1000"/>
      <c r="AE15" s="1000">
        <f t="shared" si="19"/>
        <v>852770.53125</v>
      </c>
      <c r="AF15" s="1000"/>
      <c r="AG15" s="1000">
        <f t="shared" si="20"/>
        <v>852770.53125</v>
      </c>
      <c r="AH15" s="1000"/>
      <c r="AI15" s="1000">
        <f t="shared" si="21"/>
        <v>852770.53125</v>
      </c>
      <c r="AJ15" s="1000"/>
      <c r="AK15" s="1000">
        <f t="shared" si="22"/>
        <v>852770.53125</v>
      </c>
      <c r="AL15" s="1000"/>
      <c r="AM15" s="1000">
        <f t="shared" si="23"/>
        <v>852770.53125</v>
      </c>
      <c r="AN15" s="1000"/>
      <c r="AO15" s="1000">
        <f t="shared" si="24"/>
        <v>852770.53125</v>
      </c>
      <c r="AP15" s="1000"/>
      <c r="AQ15" s="1000">
        <f t="shared" si="25"/>
        <v>852770.53125</v>
      </c>
      <c r="AR15" s="1000"/>
      <c r="AS15" s="1000">
        <f t="shared" si="26"/>
        <v>852770.53125</v>
      </c>
      <c r="AT15" s="998">
        <f t="shared" si="27"/>
        <v>852770.53125</v>
      </c>
      <c r="AU15" s="998">
        <f t="shared" si="28"/>
        <v>102332.46375</v>
      </c>
      <c r="AV15" s="998">
        <f t="shared" si="29"/>
        <v>85277.053125000006</v>
      </c>
      <c r="AW15" s="998">
        <f t="shared" ref="AW15:AW76" si="57">SUM(AT15:AV15)</f>
        <v>1040380.048125</v>
      </c>
      <c r="AX15" s="1001">
        <v>0.15</v>
      </c>
      <c r="AY15" s="998">
        <f t="shared" si="49"/>
        <v>156057.00721874999</v>
      </c>
      <c r="AZ15" s="998">
        <v>10000</v>
      </c>
      <c r="BA15" s="998">
        <f t="shared" si="50"/>
        <v>146057.00721874999</v>
      </c>
      <c r="BB15" s="998">
        <f t="shared" si="30"/>
        <v>1</v>
      </c>
      <c r="BC15" s="997">
        <f t="shared" si="51"/>
        <v>146057.00721874999</v>
      </c>
      <c r="BD15" s="1002">
        <f t="shared" si="31"/>
        <v>0.85</v>
      </c>
      <c r="BE15" s="998">
        <f t="shared" si="52"/>
        <v>884323.04090625001</v>
      </c>
      <c r="BF15" s="1003">
        <f t="shared" si="32"/>
        <v>7948.5454973272472</v>
      </c>
      <c r="BG15" s="1003">
        <f t="shared" si="33"/>
        <v>10267.740341761377</v>
      </c>
      <c r="BH15" s="1003">
        <f t="shared" si="34"/>
        <v>17510.656106790302</v>
      </c>
      <c r="BI15" s="1004"/>
      <c r="BJ15" s="818"/>
      <c r="BK15" s="818"/>
      <c r="BL15" s="907">
        <f t="shared" si="53"/>
        <v>45658</v>
      </c>
      <c r="BM15" s="908">
        <f t="shared" si="35"/>
        <v>15</v>
      </c>
      <c r="BN15" s="909"/>
      <c r="BO15" s="907">
        <f t="shared" si="36"/>
        <v>45723</v>
      </c>
      <c r="BP15" s="908">
        <f t="shared" si="37"/>
        <v>17</v>
      </c>
      <c r="BQ15" s="818"/>
      <c r="BR15" s="1004"/>
      <c r="BS15" s="870" t="s">
        <v>306</v>
      </c>
      <c r="BT15" s="874"/>
      <c r="BU15" s="875"/>
      <c r="BV15" s="876">
        <v>0.35</v>
      </c>
      <c r="BW15" s="576">
        <f>BU12*BV15</f>
        <v>47771.10576721</v>
      </c>
      <c r="BX15" s="877" t="e">
        <f t="shared" si="54"/>
        <v>#DIV/0!</v>
      </c>
      <c r="BY15" s="818"/>
      <c r="BZ15" s="1004"/>
      <c r="CA15" s="1016" t="s">
        <v>262</v>
      </c>
      <c r="CB15" s="1021" t="s">
        <v>262</v>
      </c>
      <c r="CC15" s="1017" t="b">
        <f t="shared" si="38"/>
        <v>1</v>
      </c>
      <c r="CD15" s="695" t="s">
        <v>262</v>
      </c>
      <c r="CE15" s="1018" t="b">
        <f t="shared" si="39"/>
        <v>1</v>
      </c>
      <c r="CF15" s="1019" t="s">
        <v>414</v>
      </c>
      <c r="CG15" s="1025">
        <v>36</v>
      </c>
      <c r="CH15" s="1023">
        <f>EDATE($BP$10,CG15)</f>
        <v>46296</v>
      </c>
      <c r="CI15" s="1024">
        <v>40</v>
      </c>
      <c r="CJ15" s="1023">
        <f>EDATE(CJ10,CI15)</f>
        <v>46266</v>
      </c>
      <c r="CK15" s="1024">
        <f>CI15-CK10</f>
        <v>38</v>
      </c>
      <c r="CL15" s="1023">
        <f>EDATE(CL10,CK15)</f>
        <v>46266</v>
      </c>
      <c r="CM15" s="1024">
        <v>40</v>
      </c>
      <c r="CN15" s="1023">
        <f>EDATE(CN10,CM15)</f>
        <v>46357</v>
      </c>
      <c r="CO15" s="1024">
        <v>39</v>
      </c>
      <c r="CP15" s="1023">
        <f>EDATE(CP10,CO15)</f>
        <v>46357</v>
      </c>
      <c r="CQ15" s="1024">
        <f>38+12</f>
        <v>50</v>
      </c>
      <c r="CR15" s="1023">
        <f>EDATE(CR10,CQ15)</f>
        <v>46722</v>
      </c>
      <c r="CS15" s="1024">
        <f>CQ15-1</f>
        <v>49</v>
      </c>
      <c r="CT15" s="1023">
        <f>EDATE(CT10,CS15)</f>
        <v>46722</v>
      </c>
      <c r="CU15" s="1024">
        <f>CS15-1</f>
        <v>48</v>
      </c>
      <c r="CV15" s="1023">
        <f>EDATE(CV10,CU15)</f>
        <v>46692</v>
      </c>
      <c r="CW15" s="1024">
        <f>CU15-1</f>
        <v>47</v>
      </c>
      <c r="CX15" s="1023">
        <f>EDATE(CX10,CW15)</f>
        <v>46692</v>
      </c>
      <c r="CY15" s="1024">
        <f>CW15-1</f>
        <v>46</v>
      </c>
      <c r="CZ15" s="1023">
        <f>EDATE(CZ10,CY15)</f>
        <v>46692</v>
      </c>
      <c r="DA15" s="1024">
        <f>CY15-1</f>
        <v>45</v>
      </c>
      <c r="DB15" s="1023">
        <f>EDATE(DB10,DA15)</f>
        <v>46692</v>
      </c>
      <c r="DC15" s="1024">
        <v>44</v>
      </c>
      <c r="DD15" s="1023">
        <v>46692</v>
      </c>
      <c r="DE15" s="1024">
        <v>43</v>
      </c>
      <c r="DF15" s="1023">
        <v>46692</v>
      </c>
      <c r="DG15" s="1024">
        <v>42</v>
      </c>
      <c r="DH15" s="1023">
        <v>46692</v>
      </c>
      <c r="DI15" s="1024">
        <v>41</v>
      </c>
      <c r="DJ15" s="1023">
        <v>46692</v>
      </c>
      <c r="DK15" s="1024">
        <v>40</v>
      </c>
      <c r="DL15" s="1023">
        <v>46692</v>
      </c>
      <c r="DM15" s="1024">
        <f>DK15-1</f>
        <v>39</v>
      </c>
      <c r="DN15" s="1023">
        <v>46692</v>
      </c>
      <c r="DO15" s="1024">
        <f>DM15-1</f>
        <v>38</v>
      </c>
      <c r="DP15" s="1023">
        <v>46692</v>
      </c>
      <c r="DQ15" s="1024">
        <f>DO15-1</f>
        <v>37</v>
      </c>
      <c r="DR15" s="1023">
        <v>46692</v>
      </c>
      <c r="DS15" s="1025">
        <v>31</v>
      </c>
      <c r="DT15" s="1023">
        <v>46539</v>
      </c>
      <c r="DU15" s="1025">
        <f>DS15-1</f>
        <v>30</v>
      </c>
      <c r="DV15" s="1023">
        <v>46539</v>
      </c>
      <c r="DW15" s="1025">
        <f>DU15-1</f>
        <v>29</v>
      </c>
      <c r="DX15" s="1023">
        <v>46539</v>
      </c>
      <c r="DY15" s="1025">
        <v>30</v>
      </c>
      <c r="DZ15" s="1023">
        <v>46600</v>
      </c>
      <c r="EA15" s="1025">
        <f>DY15-1</f>
        <v>29</v>
      </c>
      <c r="EB15" s="1023">
        <v>46600</v>
      </c>
      <c r="EC15" s="1025">
        <f>EA15-1</f>
        <v>28</v>
      </c>
      <c r="ED15" s="1023">
        <v>46600</v>
      </c>
      <c r="EE15" s="1025">
        <v>30</v>
      </c>
      <c r="EF15" s="1023">
        <v>46661</v>
      </c>
      <c r="EG15" s="1025">
        <v>32</v>
      </c>
      <c r="EH15" s="1023">
        <v>46753</v>
      </c>
      <c r="EI15" s="1025">
        <f>EG15-1</f>
        <v>31</v>
      </c>
      <c r="EJ15" s="1023">
        <v>46753</v>
      </c>
      <c r="EK15" s="1025">
        <v>33</v>
      </c>
      <c r="EL15" s="1023">
        <v>46844</v>
      </c>
      <c r="EM15" s="1025">
        <v>32</v>
      </c>
      <c r="EN15" s="1023">
        <v>46844</v>
      </c>
      <c r="EO15" s="1025">
        <v>31</v>
      </c>
      <c r="EP15" s="1023">
        <v>46844</v>
      </c>
      <c r="ER15" s="1026"/>
      <c r="ES15" s="1026"/>
      <c r="EU15" s="1026"/>
      <c r="EW15" s="1020"/>
      <c r="EX15" s="938">
        <f t="shared" si="2"/>
        <v>1040380.048125</v>
      </c>
      <c r="EY15" s="942">
        <f t="shared" si="3"/>
        <v>0.15</v>
      </c>
      <c r="EZ15" s="938">
        <f t="shared" si="4"/>
        <v>156057.00721874999</v>
      </c>
      <c r="FA15" s="938">
        <f t="shared" si="5"/>
        <v>10000</v>
      </c>
      <c r="FB15" s="938">
        <f t="shared" si="6"/>
        <v>146057.00721874999</v>
      </c>
      <c r="FC15" s="813">
        <f t="shared" si="40"/>
        <v>25</v>
      </c>
      <c r="FD15" s="814">
        <f t="shared" si="41"/>
        <v>5842.2802887499993</v>
      </c>
      <c r="FE15" s="942">
        <f t="shared" si="42"/>
        <v>0.85</v>
      </c>
      <c r="FF15" s="938">
        <f t="shared" si="43"/>
        <v>884323.04090625001</v>
      </c>
      <c r="FG15" s="940">
        <f t="shared" si="44"/>
        <v>7948.5454973272472</v>
      </c>
      <c r="FH15" s="940">
        <f t="shared" si="45"/>
        <v>10267.740341761377</v>
      </c>
      <c r="FI15" s="940">
        <f t="shared" si="46"/>
        <v>17510.656106790302</v>
      </c>
      <c r="FJ15" s="840"/>
      <c r="FK15" s="938">
        <f t="shared" ref="FK15:FK46" si="58">FD15-BC15</f>
        <v>-140214.72693</v>
      </c>
      <c r="FN15" s="1030"/>
      <c r="FO15" s="1030"/>
      <c r="FP15" s="1030"/>
      <c r="FU15" s="1030"/>
      <c r="FV15" s="1030"/>
    </row>
    <row r="16" spans="1:178" s="695" customFormat="1" ht="14.5" hidden="1" x14ac:dyDescent="0.35">
      <c r="A16" s="974">
        <f t="shared" si="47"/>
        <v>5</v>
      </c>
      <c r="B16" s="813"/>
      <c r="C16" s="974" t="s">
        <v>373</v>
      </c>
      <c r="D16" s="813">
        <f t="shared" si="48"/>
        <v>5</v>
      </c>
      <c r="E16" s="974" t="s">
        <v>374</v>
      </c>
      <c r="F16" s="996" t="s">
        <v>478</v>
      </c>
      <c r="G16" s="996" t="s">
        <v>375</v>
      </c>
      <c r="H16" s="996">
        <v>13.5</v>
      </c>
      <c r="I16" s="997">
        <v>52000</v>
      </c>
      <c r="J16" s="998">
        <f t="shared" si="7"/>
        <v>702000</v>
      </c>
      <c r="K16" s="998">
        <v>40000</v>
      </c>
      <c r="L16" s="998">
        <v>50000</v>
      </c>
      <c r="M16" s="998"/>
      <c r="N16" s="998">
        <f t="shared" si="8"/>
        <v>792000</v>
      </c>
      <c r="O16" s="998">
        <f t="shared" si="9"/>
        <v>19800</v>
      </c>
      <c r="P16" s="998">
        <f t="shared" si="10"/>
        <v>811800</v>
      </c>
      <c r="Q16" s="999">
        <f t="shared" si="11"/>
        <v>1.2500000000000001E-2</v>
      </c>
      <c r="R16" s="998">
        <f t="shared" si="12"/>
        <v>10147.5</v>
      </c>
      <c r="S16" s="1000" t="s">
        <v>450</v>
      </c>
      <c r="T16" s="1000">
        <f t="shared" si="13"/>
        <v>821947.5</v>
      </c>
      <c r="U16" s="1000"/>
      <c r="V16" s="1000">
        <f t="shared" si="14"/>
        <v>30823.03125</v>
      </c>
      <c r="W16" s="1000">
        <f t="shared" si="15"/>
        <v>852770.53125</v>
      </c>
      <c r="X16" s="1000"/>
      <c r="Y16" s="1000">
        <f t="shared" si="16"/>
        <v>852770.53125</v>
      </c>
      <c r="Z16" s="1000"/>
      <c r="AA16" s="1000">
        <f t="shared" si="17"/>
        <v>852770.53125</v>
      </c>
      <c r="AB16" s="1000"/>
      <c r="AC16" s="1000">
        <f t="shared" si="18"/>
        <v>852770.53125</v>
      </c>
      <c r="AD16" s="1000"/>
      <c r="AE16" s="1000">
        <f t="shared" si="19"/>
        <v>852770.53125</v>
      </c>
      <c r="AF16" s="1000"/>
      <c r="AG16" s="1000">
        <f t="shared" si="20"/>
        <v>852770.53125</v>
      </c>
      <c r="AH16" s="1000"/>
      <c r="AI16" s="1000">
        <f t="shared" si="21"/>
        <v>852770.53125</v>
      </c>
      <c r="AJ16" s="1000"/>
      <c r="AK16" s="1000">
        <f t="shared" si="22"/>
        <v>852770.53125</v>
      </c>
      <c r="AL16" s="1000"/>
      <c r="AM16" s="1000">
        <f t="shared" si="23"/>
        <v>852770.53125</v>
      </c>
      <c r="AN16" s="1000"/>
      <c r="AO16" s="1000">
        <f t="shared" si="24"/>
        <v>852770.53125</v>
      </c>
      <c r="AP16" s="1000"/>
      <c r="AQ16" s="1000">
        <f t="shared" si="25"/>
        <v>852770.53125</v>
      </c>
      <c r="AR16" s="1000"/>
      <c r="AS16" s="1000">
        <f t="shared" si="26"/>
        <v>852770.53125</v>
      </c>
      <c r="AT16" s="998">
        <f t="shared" si="27"/>
        <v>852770.53125</v>
      </c>
      <c r="AU16" s="998">
        <f t="shared" si="28"/>
        <v>102332.46375</v>
      </c>
      <c r="AV16" s="998">
        <f t="shared" si="29"/>
        <v>85277.053125000006</v>
      </c>
      <c r="AW16" s="998">
        <f t="shared" si="57"/>
        <v>1040380.048125</v>
      </c>
      <c r="AX16" s="1001">
        <v>0.15</v>
      </c>
      <c r="AY16" s="998">
        <f t="shared" si="49"/>
        <v>156057.00721874999</v>
      </c>
      <c r="AZ16" s="998">
        <v>10000</v>
      </c>
      <c r="BA16" s="998">
        <f t="shared" si="50"/>
        <v>146057.00721874999</v>
      </c>
      <c r="BB16" s="998">
        <f t="shared" si="30"/>
        <v>1</v>
      </c>
      <c r="BC16" s="997">
        <f t="shared" si="51"/>
        <v>146057.00721874999</v>
      </c>
      <c r="BD16" s="1002">
        <f t="shared" si="31"/>
        <v>0.85</v>
      </c>
      <c r="BE16" s="998">
        <f t="shared" si="52"/>
        <v>884323.04090625001</v>
      </c>
      <c r="BF16" s="1003">
        <f t="shared" si="32"/>
        <v>7948.5454973272472</v>
      </c>
      <c r="BG16" s="1003">
        <f t="shared" si="33"/>
        <v>10267.740341761377</v>
      </c>
      <c r="BH16" s="1003">
        <f t="shared" si="34"/>
        <v>17510.656106790302</v>
      </c>
      <c r="BI16" s="1004"/>
      <c r="BJ16" s="818"/>
      <c r="BK16" s="818"/>
      <c r="BL16" s="907">
        <f t="shared" si="53"/>
        <v>45658</v>
      </c>
      <c r="BM16" s="908">
        <f t="shared" si="35"/>
        <v>15</v>
      </c>
      <c r="BN16" s="909"/>
      <c r="BO16" s="907">
        <f t="shared" si="36"/>
        <v>45723</v>
      </c>
      <c r="BP16" s="908">
        <f t="shared" si="37"/>
        <v>17</v>
      </c>
      <c r="BQ16" s="818"/>
      <c r="BR16" s="1004"/>
      <c r="BS16" s="870" t="s">
        <v>307</v>
      </c>
      <c r="BT16" s="874"/>
      <c r="BU16" s="875"/>
      <c r="BV16" s="876">
        <v>0.4</v>
      </c>
      <c r="BW16" s="576">
        <f>BU12*BV16</f>
        <v>54595.549448240003</v>
      </c>
      <c r="BX16" s="877" t="e">
        <f t="shared" si="54"/>
        <v>#DIV/0!</v>
      </c>
      <c r="BY16" s="818"/>
      <c r="BZ16" s="1004"/>
      <c r="CA16" s="1016" t="s">
        <v>262</v>
      </c>
      <c r="CB16" s="1021" t="s">
        <v>262</v>
      </c>
      <c r="CC16" s="1017" t="b">
        <f t="shared" si="38"/>
        <v>1</v>
      </c>
      <c r="CD16" s="695" t="s">
        <v>262</v>
      </c>
      <c r="CE16" s="1018" t="b">
        <f t="shared" si="39"/>
        <v>1</v>
      </c>
      <c r="CG16" s="1027"/>
      <c r="CH16" s="1028"/>
      <c r="DS16" s="1027"/>
      <c r="DU16" s="1027"/>
      <c r="DW16" s="1027"/>
      <c r="DY16" s="1027"/>
      <c r="EA16" s="1027"/>
      <c r="ED16" s="947"/>
      <c r="EF16" s="947"/>
      <c r="EG16" s="947"/>
      <c r="EH16" s="947"/>
      <c r="EI16" s="947"/>
      <c r="EJ16" s="947"/>
      <c r="EK16" s="947"/>
      <c r="EL16" s="947"/>
      <c r="EW16" s="1020"/>
      <c r="EX16" s="938">
        <f t="shared" si="2"/>
        <v>1040380.048125</v>
      </c>
      <c r="EY16" s="942">
        <f t="shared" si="3"/>
        <v>0.15</v>
      </c>
      <c r="EZ16" s="938">
        <f t="shared" si="4"/>
        <v>156057.00721874999</v>
      </c>
      <c r="FA16" s="938">
        <f t="shared" si="5"/>
        <v>10000</v>
      </c>
      <c r="FB16" s="938">
        <f t="shared" si="6"/>
        <v>146057.00721874999</v>
      </c>
      <c r="FC16" s="813">
        <f t="shared" si="40"/>
        <v>25</v>
      </c>
      <c r="FD16" s="814">
        <f t="shared" si="41"/>
        <v>5842.2802887499993</v>
      </c>
      <c r="FE16" s="942">
        <f t="shared" si="42"/>
        <v>0.85</v>
      </c>
      <c r="FF16" s="938">
        <f t="shared" si="43"/>
        <v>884323.04090625001</v>
      </c>
      <c r="FG16" s="940">
        <f t="shared" si="44"/>
        <v>7948.5454973272472</v>
      </c>
      <c r="FH16" s="940">
        <f t="shared" si="45"/>
        <v>10267.740341761377</v>
      </c>
      <c r="FI16" s="940">
        <f t="shared" si="46"/>
        <v>17510.656106790302</v>
      </c>
      <c r="FJ16" s="840"/>
      <c r="FK16" s="938">
        <f t="shared" si="58"/>
        <v>-140214.72693</v>
      </c>
      <c r="FN16" s="1030"/>
      <c r="FO16" s="1030"/>
      <c r="FP16" s="1030"/>
      <c r="FU16" s="1030"/>
      <c r="FV16" s="1030"/>
    </row>
    <row r="17" spans="1:178" s="695" customFormat="1" ht="15" hidden="1" thickBot="1" x14ac:dyDescent="0.4">
      <c r="A17" s="974">
        <f t="shared" si="47"/>
        <v>6</v>
      </c>
      <c r="B17" s="813"/>
      <c r="C17" s="974" t="s">
        <v>373</v>
      </c>
      <c r="D17" s="813">
        <f t="shared" si="48"/>
        <v>6</v>
      </c>
      <c r="E17" s="974" t="s">
        <v>374</v>
      </c>
      <c r="F17" s="996" t="s">
        <v>479</v>
      </c>
      <c r="G17" s="996" t="s">
        <v>375</v>
      </c>
      <c r="H17" s="996">
        <v>13.5</v>
      </c>
      <c r="I17" s="997">
        <v>52000</v>
      </c>
      <c r="J17" s="998">
        <f t="shared" si="7"/>
        <v>702000</v>
      </c>
      <c r="K17" s="998">
        <v>40000</v>
      </c>
      <c r="L17" s="998">
        <v>30000</v>
      </c>
      <c r="M17" s="998"/>
      <c r="N17" s="998">
        <f t="shared" si="8"/>
        <v>772000</v>
      </c>
      <c r="O17" s="998">
        <f t="shared" si="9"/>
        <v>19300</v>
      </c>
      <c r="P17" s="998">
        <f t="shared" si="10"/>
        <v>791300</v>
      </c>
      <c r="Q17" s="999">
        <f t="shared" si="11"/>
        <v>1.2500000000000001E-2</v>
      </c>
      <c r="R17" s="998">
        <f t="shared" si="12"/>
        <v>9891.25</v>
      </c>
      <c r="S17" s="1000">
        <v>1495.557</v>
      </c>
      <c r="T17" s="1000">
        <f t="shared" si="13"/>
        <v>802686.80700000003</v>
      </c>
      <c r="U17" s="1000"/>
      <c r="V17" s="1000">
        <f t="shared" si="14"/>
        <v>30100.755262499999</v>
      </c>
      <c r="W17" s="1000">
        <f t="shared" si="15"/>
        <v>832787.56226250005</v>
      </c>
      <c r="X17" s="1000"/>
      <c r="Y17" s="1000">
        <f t="shared" si="16"/>
        <v>832787.56226250005</v>
      </c>
      <c r="Z17" s="1000"/>
      <c r="AA17" s="1000">
        <f t="shared" si="17"/>
        <v>832787.56226250005</v>
      </c>
      <c r="AB17" s="1000"/>
      <c r="AC17" s="1000">
        <f t="shared" si="18"/>
        <v>832787.56226250005</v>
      </c>
      <c r="AD17" s="1000"/>
      <c r="AE17" s="1000">
        <f t="shared" si="19"/>
        <v>832787.56226250005</v>
      </c>
      <c r="AF17" s="1000"/>
      <c r="AG17" s="1000">
        <f t="shared" si="20"/>
        <v>832787.56226250005</v>
      </c>
      <c r="AH17" s="1000"/>
      <c r="AI17" s="1000">
        <f t="shared" si="21"/>
        <v>832787.56226250005</v>
      </c>
      <c r="AJ17" s="1000"/>
      <c r="AK17" s="1000">
        <f t="shared" si="22"/>
        <v>832787.56226250005</v>
      </c>
      <c r="AL17" s="1000"/>
      <c r="AM17" s="1000">
        <f t="shared" si="23"/>
        <v>832787.56226250005</v>
      </c>
      <c r="AN17" s="1000"/>
      <c r="AO17" s="1000">
        <f t="shared" si="24"/>
        <v>832787.56226250005</v>
      </c>
      <c r="AP17" s="1000"/>
      <c r="AQ17" s="1000">
        <f t="shared" si="25"/>
        <v>832787.56226250005</v>
      </c>
      <c r="AR17" s="1000"/>
      <c r="AS17" s="1000">
        <f t="shared" si="26"/>
        <v>832787.56226250005</v>
      </c>
      <c r="AT17" s="998">
        <f t="shared" si="27"/>
        <v>832787.56226250005</v>
      </c>
      <c r="AU17" s="998">
        <f t="shared" si="28"/>
        <v>99934.507471500008</v>
      </c>
      <c r="AV17" s="998">
        <f t="shared" si="29"/>
        <v>83278.756226250014</v>
      </c>
      <c r="AW17" s="998">
        <f t="shared" si="57"/>
        <v>1016000.82596025</v>
      </c>
      <c r="AX17" s="1001">
        <v>0.15</v>
      </c>
      <c r="AY17" s="998">
        <f t="shared" si="49"/>
        <v>152400.1238940375</v>
      </c>
      <c r="AZ17" s="998">
        <v>10000</v>
      </c>
      <c r="BA17" s="998">
        <f t="shared" si="50"/>
        <v>142400.1238940375</v>
      </c>
      <c r="BB17" s="998">
        <f t="shared" si="30"/>
        <v>1</v>
      </c>
      <c r="BC17" s="997">
        <f t="shared" si="51"/>
        <v>142400.1238940375</v>
      </c>
      <c r="BD17" s="1002">
        <f t="shared" si="31"/>
        <v>0.85</v>
      </c>
      <c r="BE17" s="998">
        <f t="shared" si="52"/>
        <v>863600.70206621243</v>
      </c>
      <c r="BF17" s="1003">
        <f t="shared" si="32"/>
        <v>7762.2872574511575</v>
      </c>
      <c r="BG17" s="1003">
        <f t="shared" si="33"/>
        <v>10027.136416904397</v>
      </c>
      <c r="BH17" s="1003">
        <f t="shared" si="34"/>
        <v>17100.32896119832</v>
      </c>
      <c r="BI17" s="1004"/>
      <c r="BJ17" s="818"/>
      <c r="BK17" s="818"/>
      <c r="BL17" s="907">
        <f t="shared" si="53"/>
        <v>45658</v>
      </c>
      <c r="BM17" s="908">
        <f t="shared" si="35"/>
        <v>15</v>
      </c>
      <c r="BN17" s="909"/>
      <c r="BO17" s="907">
        <f t="shared" si="36"/>
        <v>45723</v>
      </c>
      <c r="BP17" s="908">
        <f t="shared" si="37"/>
        <v>17</v>
      </c>
      <c r="BQ17" s="818"/>
      <c r="BR17" s="1004"/>
      <c r="BS17" s="879" t="s">
        <v>303</v>
      </c>
      <c r="BT17" s="880"/>
      <c r="BU17" s="881">
        <f>SUM(BU14:BU16)</f>
        <v>0</v>
      </c>
      <c r="BV17" s="882">
        <f t="shared" ref="BV17:BW17" si="59">SUM(BV14:BV16)</f>
        <v>1</v>
      </c>
      <c r="BW17" s="883">
        <f t="shared" si="59"/>
        <v>136488.8736206</v>
      </c>
      <c r="BX17" s="884"/>
      <c r="BY17" s="818"/>
      <c r="BZ17" s="1004"/>
      <c r="CA17" s="1016" t="s">
        <v>262</v>
      </c>
      <c r="CB17" s="1021" t="s">
        <v>262</v>
      </c>
      <c r="CC17" s="1017" t="b">
        <f t="shared" si="38"/>
        <v>1</v>
      </c>
      <c r="CD17" s="695" t="s">
        <v>262</v>
      </c>
      <c r="CE17" s="1018" t="b">
        <f t="shared" si="39"/>
        <v>1</v>
      </c>
      <c r="CG17" s="1027"/>
      <c r="CH17" s="1028"/>
      <c r="ED17" s="947"/>
      <c r="EF17" s="947"/>
      <c r="EG17" s="947"/>
      <c r="EH17" s="947"/>
      <c r="EI17" s="947"/>
      <c r="EJ17" s="947"/>
      <c r="EK17" s="947"/>
      <c r="EL17" s="947"/>
      <c r="EW17" s="1020"/>
      <c r="EX17" s="938">
        <f t="shared" si="2"/>
        <v>1016000.82596025</v>
      </c>
      <c r="EY17" s="942">
        <f t="shared" si="3"/>
        <v>0.15</v>
      </c>
      <c r="EZ17" s="938">
        <f t="shared" si="4"/>
        <v>152400.1238940375</v>
      </c>
      <c r="FA17" s="938">
        <f t="shared" si="5"/>
        <v>10000</v>
      </c>
      <c r="FB17" s="938">
        <f t="shared" si="6"/>
        <v>142400.1238940375</v>
      </c>
      <c r="FC17" s="813">
        <f t="shared" si="40"/>
        <v>25</v>
      </c>
      <c r="FD17" s="814">
        <f t="shared" si="41"/>
        <v>5696.0049557615002</v>
      </c>
      <c r="FE17" s="942">
        <f t="shared" si="42"/>
        <v>0.85</v>
      </c>
      <c r="FF17" s="938">
        <f t="shared" si="43"/>
        <v>863600.70206621243</v>
      </c>
      <c r="FG17" s="940">
        <f t="shared" si="44"/>
        <v>7762.2872574511575</v>
      </c>
      <c r="FH17" s="940">
        <f t="shared" si="45"/>
        <v>10027.136416904397</v>
      </c>
      <c r="FI17" s="940">
        <f t="shared" si="46"/>
        <v>17100.32896119832</v>
      </c>
      <c r="FJ17" s="840"/>
      <c r="FK17" s="938">
        <f t="shared" si="58"/>
        <v>-136704.11893827599</v>
      </c>
      <c r="FN17" s="1030"/>
      <c r="FO17" s="1030"/>
      <c r="FP17" s="1030"/>
      <c r="FU17" s="1030"/>
      <c r="FV17" s="1030"/>
    </row>
    <row r="18" spans="1:178" s="695" customFormat="1" ht="14.5" hidden="1" x14ac:dyDescent="0.3">
      <c r="A18" s="974">
        <f t="shared" si="47"/>
        <v>7</v>
      </c>
      <c r="B18" s="813"/>
      <c r="C18" s="974" t="s">
        <v>373</v>
      </c>
      <c r="D18" s="813">
        <f t="shared" si="48"/>
        <v>7</v>
      </c>
      <c r="E18" s="974" t="s">
        <v>374</v>
      </c>
      <c r="F18" s="996" t="s">
        <v>480</v>
      </c>
      <c r="G18" s="996" t="s">
        <v>375</v>
      </c>
      <c r="H18" s="996">
        <v>13.5</v>
      </c>
      <c r="I18" s="997">
        <v>52000</v>
      </c>
      <c r="J18" s="998">
        <f t="shared" si="7"/>
        <v>702000</v>
      </c>
      <c r="K18" s="998">
        <v>40000</v>
      </c>
      <c r="L18" s="998">
        <v>30000</v>
      </c>
      <c r="M18" s="998"/>
      <c r="N18" s="998">
        <f t="shared" si="8"/>
        <v>772000</v>
      </c>
      <c r="O18" s="998">
        <f t="shared" si="9"/>
        <v>19300</v>
      </c>
      <c r="P18" s="998">
        <f t="shared" si="10"/>
        <v>791300</v>
      </c>
      <c r="Q18" s="999">
        <f t="shared" si="11"/>
        <v>1.2500000000000001E-2</v>
      </c>
      <c r="R18" s="998">
        <f t="shared" si="12"/>
        <v>9891.25</v>
      </c>
      <c r="S18" s="1000" t="s">
        <v>450</v>
      </c>
      <c r="T18" s="1000">
        <f t="shared" si="13"/>
        <v>801191.25</v>
      </c>
      <c r="U18" s="1000"/>
      <c r="V18" s="1000">
        <f t="shared" si="14"/>
        <v>30044.671875</v>
      </c>
      <c r="W18" s="1000">
        <f t="shared" si="15"/>
        <v>831235.921875</v>
      </c>
      <c r="X18" s="1000"/>
      <c r="Y18" s="1000">
        <f t="shared" si="16"/>
        <v>831235.921875</v>
      </c>
      <c r="Z18" s="1000"/>
      <c r="AA18" s="1000">
        <f t="shared" si="17"/>
        <v>831235.921875</v>
      </c>
      <c r="AB18" s="1000"/>
      <c r="AC18" s="1000">
        <f t="shared" si="18"/>
        <v>831235.921875</v>
      </c>
      <c r="AD18" s="1000"/>
      <c r="AE18" s="1000">
        <f t="shared" si="19"/>
        <v>831235.921875</v>
      </c>
      <c r="AF18" s="1000"/>
      <c r="AG18" s="1000">
        <f t="shared" si="20"/>
        <v>831235.921875</v>
      </c>
      <c r="AH18" s="1000"/>
      <c r="AI18" s="1000">
        <f t="shared" si="21"/>
        <v>831235.921875</v>
      </c>
      <c r="AJ18" s="1000"/>
      <c r="AK18" s="1000">
        <f t="shared" si="22"/>
        <v>831235.921875</v>
      </c>
      <c r="AL18" s="1000"/>
      <c r="AM18" s="1000">
        <f t="shared" si="23"/>
        <v>831235.921875</v>
      </c>
      <c r="AN18" s="1000"/>
      <c r="AO18" s="1000">
        <f t="shared" si="24"/>
        <v>831235.921875</v>
      </c>
      <c r="AP18" s="1000"/>
      <c r="AQ18" s="1000">
        <f t="shared" si="25"/>
        <v>831235.921875</v>
      </c>
      <c r="AR18" s="1000"/>
      <c r="AS18" s="1000">
        <f t="shared" si="26"/>
        <v>831235.921875</v>
      </c>
      <c r="AT18" s="998">
        <f t="shared" si="27"/>
        <v>831235.921875</v>
      </c>
      <c r="AU18" s="998">
        <f t="shared" si="28"/>
        <v>99748.310624999998</v>
      </c>
      <c r="AV18" s="998">
        <f t="shared" si="29"/>
        <v>83123.592187500006</v>
      </c>
      <c r="AW18" s="998">
        <f t="shared" si="57"/>
        <v>1014107.8246875</v>
      </c>
      <c r="AX18" s="1001">
        <v>0.15</v>
      </c>
      <c r="AY18" s="998">
        <f t="shared" si="49"/>
        <v>152116.17370312501</v>
      </c>
      <c r="AZ18" s="998">
        <v>10000</v>
      </c>
      <c r="BA18" s="998">
        <f t="shared" si="50"/>
        <v>142116.17370312501</v>
      </c>
      <c r="BB18" s="998">
        <f t="shared" si="30"/>
        <v>1</v>
      </c>
      <c r="BC18" s="997">
        <f t="shared" si="51"/>
        <v>142116.17370312501</v>
      </c>
      <c r="BD18" s="1002">
        <f t="shared" si="31"/>
        <v>0.85</v>
      </c>
      <c r="BE18" s="998">
        <f t="shared" si="52"/>
        <v>861991.65098437504</v>
      </c>
      <c r="BF18" s="1003">
        <f t="shared" si="32"/>
        <v>7747.8246514351467</v>
      </c>
      <c r="BG18" s="1003">
        <f t="shared" si="33"/>
        <v>10008.453969494676</v>
      </c>
      <c r="BH18" s="1003">
        <f t="shared" si="34"/>
        <v>17068.467821265294</v>
      </c>
      <c r="BI18" s="1004"/>
      <c r="BJ18" s="818"/>
      <c r="BK18" s="818"/>
      <c r="BL18" s="907">
        <f t="shared" si="53"/>
        <v>45658</v>
      </c>
      <c r="BM18" s="908">
        <f t="shared" si="35"/>
        <v>15</v>
      </c>
      <c r="BN18" s="909"/>
      <c r="BO18" s="907">
        <f t="shared" si="36"/>
        <v>45723</v>
      </c>
      <c r="BP18" s="908">
        <f t="shared" si="37"/>
        <v>17</v>
      </c>
      <c r="BQ18" s="818"/>
      <c r="BR18" s="1004"/>
      <c r="BS18" s="818"/>
      <c r="BT18" s="818"/>
      <c r="BU18" s="818"/>
      <c r="BV18" s="818"/>
      <c r="BW18" s="818"/>
      <c r="BX18" s="818"/>
      <c r="BY18" s="818"/>
      <c r="BZ18" s="1004"/>
      <c r="CA18" s="1016" t="s">
        <v>262</v>
      </c>
      <c r="CB18" s="1021" t="s">
        <v>262</v>
      </c>
      <c r="CC18" s="1017" t="b">
        <f t="shared" si="38"/>
        <v>1</v>
      </c>
      <c r="CD18" s="695" t="s">
        <v>262</v>
      </c>
      <c r="CE18" s="1018" t="b">
        <f t="shared" si="39"/>
        <v>1</v>
      </c>
      <c r="CG18" s="1027"/>
      <c r="CH18" s="1028"/>
      <c r="ED18" s="947"/>
      <c r="EF18" s="947"/>
      <c r="EG18" s="947"/>
      <c r="EH18" s="947"/>
      <c r="EI18" s="947"/>
      <c r="EJ18" s="947"/>
      <c r="EK18" s="947"/>
      <c r="EL18" s="947"/>
      <c r="EW18" s="1020"/>
      <c r="EX18" s="938">
        <f t="shared" si="2"/>
        <v>1014107.8246875</v>
      </c>
      <c r="EY18" s="942">
        <f t="shared" si="3"/>
        <v>0.15</v>
      </c>
      <c r="EZ18" s="938">
        <f t="shared" si="4"/>
        <v>152116.17370312501</v>
      </c>
      <c r="FA18" s="938">
        <f t="shared" si="5"/>
        <v>10000</v>
      </c>
      <c r="FB18" s="938">
        <f t="shared" si="6"/>
        <v>142116.17370312501</v>
      </c>
      <c r="FC18" s="813">
        <f t="shared" si="40"/>
        <v>25</v>
      </c>
      <c r="FD18" s="814">
        <f t="shared" si="41"/>
        <v>5684.6469481250006</v>
      </c>
      <c r="FE18" s="942">
        <f t="shared" si="42"/>
        <v>0.85</v>
      </c>
      <c r="FF18" s="938">
        <f t="shared" si="43"/>
        <v>861991.65098437504</v>
      </c>
      <c r="FG18" s="940">
        <f t="shared" si="44"/>
        <v>7747.8246514351467</v>
      </c>
      <c r="FH18" s="940">
        <f t="shared" si="45"/>
        <v>10008.453969494676</v>
      </c>
      <c r="FI18" s="940">
        <f t="shared" si="46"/>
        <v>17068.467821265294</v>
      </c>
      <c r="FJ18" s="840"/>
      <c r="FK18" s="938">
        <f t="shared" si="58"/>
        <v>-136431.526755</v>
      </c>
      <c r="FN18" s="1030"/>
      <c r="FO18" s="1030"/>
      <c r="FP18" s="1030"/>
      <c r="FU18" s="1030"/>
      <c r="FV18" s="1030"/>
    </row>
    <row r="19" spans="1:178" s="695" customFormat="1" ht="14.5" hidden="1" x14ac:dyDescent="0.3">
      <c r="A19" s="974">
        <f t="shared" si="47"/>
        <v>8</v>
      </c>
      <c r="B19" s="813"/>
      <c r="C19" s="974" t="s">
        <v>373</v>
      </c>
      <c r="D19" s="813">
        <f t="shared" si="48"/>
        <v>8</v>
      </c>
      <c r="E19" s="974" t="s">
        <v>374</v>
      </c>
      <c r="F19" s="996" t="s">
        <v>481</v>
      </c>
      <c r="G19" s="996" t="s">
        <v>375</v>
      </c>
      <c r="H19" s="996">
        <v>13.5</v>
      </c>
      <c r="I19" s="997">
        <v>52000</v>
      </c>
      <c r="J19" s="998">
        <f t="shared" si="7"/>
        <v>702000</v>
      </c>
      <c r="K19" s="998">
        <v>40000</v>
      </c>
      <c r="L19" s="998">
        <v>30000</v>
      </c>
      <c r="M19" s="998"/>
      <c r="N19" s="998">
        <f t="shared" si="8"/>
        <v>772000</v>
      </c>
      <c r="O19" s="998">
        <f t="shared" si="9"/>
        <v>19300</v>
      </c>
      <c r="P19" s="998">
        <f t="shared" si="10"/>
        <v>791300</v>
      </c>
      <c r="Q19" s="999">
        <f t="shared" si="11"/>
        <v>1.2500000000000001E-2</v>
      </c>
      <c r="R19" s="998">
        <f t="shared" si="12"/>
        <v>9891.25</v>
      </c>
      <c r="S19" s="1000" t="s">
        <v>450</v>
      </c>
      <c r="T19" s="1000">
        <f t="shared" si="13"/>
        <v>801191.25</v>
      </c>
      <c r="U19" s="1000"/>
      <c r="V19" s="1000">
        <f t="shared" si="14"/>
        <v>30044.671875</v>
      </c>
      <c r="W19" s="1000">
        <f t="shared" si="15"/>
        <v>831235.921875</v>
      </c>
      <c r="X19" s="1000"/>
      <c r="Y19" s="1000">
        <f t="shared" si="16"/>
        <v>831235.921875</v>
      </c>
      <c r="Z19" s="1000"/>
      <c r="AA19" s="1000">
        <f t="shared" si="17"/>
        <v>831235.921875</v>
      </c>
      <c r="AB19" s="1000"/>
      <c r="AC19" s="1000">
        <f t="shared" si="18"/>
        <v>831235.921875</v>
      </c>
      <c r="AD19" s="1000"/>
      <c r="AE19" s="1000">
        <f t="shared" si="19"/>
        <v>831235.921875</v>
      </c>
      <c r="AF19" s="1000"/>
      <c r="AG19" s="1000">
        <f t="shared" si="20"/>
        <v>831235.921875</v>
      </c>
      <c r="AH19" s="1000"/>
      <c r="AI19" s="1000">
        <f t="shared" si="21"/>
        <v>831235.921875</v>
      </c>
      <c r="AJ19" s="1000"/>
      <c r="AK19" s="1000">
        <f t="shared" si="22"/>
        <v>831235.921875</v>
      </c>
      <c r="AL19" s="1000"/>
      <c r="AM19" s="1000">
        <f t="shared" si="23"/>
        <v>831235.921875</v>
      </c>
      <c r="AN19" s="1000"/>
      <c r="AO19" s="1000">
        <f t="shared" si="24"/>
        <v>831235.921875</v>
      </c>
      <c r="AP19" s="1000"/>
      <c r="AQ19" s="1000">
        <f t="shared" si="25"/>
        <v>831235.921875</v>
      </c>
      <c r="AR19" s="1000"/>
      <c r="AS19" s="1000">
        <f t="shared" si="26"/>
        <v>831235.921875</v>
      </c>
      <c r="AT19" s="998">
        <f t="shared" si="27"/>
        <v>831235.921875</v>
      </c>
      <c r="AU19" s="998">
        <f t="shared" si="28"/>
        <v>99748.310624999998</v>
      </c>
      <c r="AV19" s="998">
        <f t="shared" si="29"/>
        <v>83123.592187500006</v>
      </c>
      <c r="AW19" s="998">
        <f t="shared" si="57"/>
        <v>1014107.8246875</v>
      </c>
      <c r="AX19" s="1001">
        <v>0.15</v>
      </c>
      <c r="AY19" s="998">
        <f t="shared" si="49"/>
        <v>152116.17370312501</v>
      </c>
      <c r="AZ19" s="998">
        <v>10000</v>
      </c>
      <c r="BA19" s="998">
        <f t="shared" si="50"/>
        <v>142116.17370312501</v>
      </c>
      <c r="BB19" s="998">
        <f t="shared" si="30"/>
        <v>1</v>
      </c>
      <c r="BC19" s="997">
        <f t="shared" si="51"/>
        <v>142116.17370312501</v>
      </c>
      <c r="BD19" s="1002">
        <f t="shared" si="31"/>
        <v>0.85</v>
      </c>
      <c r="BE19" s="998">
        <f t="shared" si="52"/>
        <v>861991.65098437504</v>
      </c>
      <c r="BF19" s="1003">
        <f t="shared" si="32"/>
        <v>7747.8246514351467</v>
      </c>
      <c r="BG19" s="1003">
        <f t="shared" si="33"/>
        <v>10008.453969494676</v>
      </c>
      <c r="BH19" s="1003">
        <f t="shared" si="34"/>
        <v>17068.467821265294</v>
      </c>
      <c r="BI19" s="1004"/>
      <c r="BJ19" s="818"/>
      <c r="BK19" s="818"/>
      <c r="BL19" s="907">
        <f t="shared" si="53"/>
        <v>45658</v>
      </c>
      <c r="BM19" s="908">
        <f t="shared" si="35"/>
        <v>15</v>
      </c>
      <c r="BN19" s="909"/>
      <c r="BO19" s="907">
        <f t="shared" si="36"/>
        <v>45723</v>
      </c>
      <c r="BP19" s="908">
        <f t="shared" si="37"/>
        <v>17</v>
      </c>
      <c r="BQ19" s="818"/>
      <c r="BR19" s="1004"/>
      <c r="BS19" s="818"/>
      <c r="BT19" s="818"/>
      <c r="BU19" s="818"/>
      <c r="BV19" s="818"/>
      <c r="BW19" s="818"/>
      <c r="BX19" s="818"/>
      <c r="BY19" s="818"/>
      <c r="BZ19" s="1004"/>
      <c r="CA19" s="1016" t="s">
        <v>262</v>
      </c>
      <c r="CB19" s="1021" t="s">
        <v>262</v>
      </c>
      <c r="CC19" s="1017" t="b">
        <f t="shared" si="38"/>
        <v>1</v>
      </c>
      <c r="CD19" s="695" t="s">
        <v>262</v>
      </c>
      <c r="CE19" s="1018" t="b">
        <f t="shared" si="39"/>
        <v>1</v>
      </c>
      <c r="CG19" s="1027"/>
      <c r="CH19" s="1028"/>
      <c r="ED19" s="947"/>
      <c r="EF19" s="947"/>
      <c r="EG19" s="947"/>
      <c r="EH19" s="947"/>
      <c r="EI19" s="947"/>
      <c r="EJ19" s="947"/>
      <c r="EK19" s="947"/>
      <c r="EL19" s="947"/>
      <c r="EW19" s="1020"/>
      <c r="EX19" s="938">
        <f t="shared" si="2"/>
        <v>1014107.8246875</v>
      </c>
      <c r="EY19" s="942">
        <f t="shared" si="3"/>
        <v>0.15</v>
      </c>
      <c r="EZ19" s="938">
        <f t="shared" si="4"/>
        <v>152116.17370312501</v>
      </c>
      <c r="FA19" s="938">
        <f t="shared" si="5"/>
        <v>10000</v>
      </c>
      <c r="FB19" s="938">
        <f t="shared" si="6"/>
        <v>142116.17370312501</v>
      </c>
      <c r="FC19" s="813">
        <f t="shared" si="40"/>
        <v>25</v>
      </c>
      <c r="FD19" s="814">
        <f t="shared" si="41"/>
        <v>5684.6469481250006</v>
      </c>
      <c r="FE19" s="942">
        <f t="shared" si="42"/>
        <v>0.85</v>
      </c>
      <c r="FF19" s="938">
        <f t="shared" si="43"/>
        <v>861991.65098437504</v>
      </c>
      <c r="FG19" s="940">
        <f t="shared" si="44"/>
        <v>7747.8246514351467</v>
      </c>
      <c r="FH19" s="940">
        <f t="shared" si="45"/>
        <v>10008.453969494676</v>
      </c>
      <c r="FI19" s="940">
        <f t="shared" si="46"/>
        <v>17068.467821265294</v>
      </c>
      <c r="FJ19" s="840"/>
      <c r="FK19" s="938">
        <f t="shared" si="58"/>
        <v>-136431.526755</v>
      </c>
      <c r="FN19" s="1030"/>
      <c r="FO19" s="1030"/>
      <c r="FP19" s="1030"/>
      <c r="FU19" s="1030"/>
      <c r="FV19" s="1030"/>
    </row>
    <row r="20" spans="1:178" s="695" customFormat="1" ht="14.5" hidden="1" x14ac:dyDescent="0.3">
      <c r="A20" s="974">
        <f t="shared" si="47"/>
        <v>9</v>
      </c>
      <c r="B20" s="813"/>
      <c r="C20" s="974" t="s">
        <v>373</v>
      </c>
      <c r="D20" s="813">
        <f t="shared" si="48"/>
        <v>9</v>
      </c>
      <c r="E20" s="974" t="s">
        <v>374</v>
      </c>
      <c r="F20" s="996" t="s">
        <v>482</v>
      </c>
      <c r="G20" s="996" t="s">
        <v>375</v>
      </c>
      <c r="H20" s="996">
        <v>13.5</v>
      </c>
      <c r="I20" s="997">
        <v>52000</v>
      </c>
      <c r="J20" s="998">
        <f t="shared" si="7"/>
        <v>702000</v>
      </c>
      <c r="K20" s="998">
        <v>40000</v>
      </c>
      <c r="L20" s="998">
        <v>30000</v>
      </c>
      <c r="M20" s="998"/>
      <c r="N20" s="998">
        <f t="shared" si="8"/>
        <v>772000</v>
      </c>
      <c r="O20" s="998">
        <f t="shared" si="9"/>
        <v>19300</v>
      </c>
      <c r="P20" s="998">
        <f t="shared" si="10"/>
        <v>791300</v>
      </c>
      <c r="Q20" s="999">
        <f t="shared" si="11"/>
        <v>1.2500000000000001E-2</v>
      </c>
      <c r="R20" s="998">
        <f t="shared" si="12"/>
        <v>9891.25</v>
      </c>
      <c r="S20" s="1000" t="s">
        <v>450</v>
      </c>
      <c r="T20" s="1000">
        <f t="shared" si="13"/>
        <v>801191.25</v>
      </c>
      <c r="U20" s="1000"/>
      <c r="V20" s="1000">
        <f t="shared" si="14"/>
        <v>30044.671875</v>
      </c>
      <c r="W20" s="1000">
        <f t="shared" si="15"/>
        <v>831235.921875</v>
      </c>
      <c r="X20" s="1000"/>
      <c r="Y20" s="1000">
        <f t="shared" si="16"/>
        <v>831235.921875</v>
      </c>
      <c r="Z20" s="1000"/>
      <c r="AA20" s="1000">
        <f t="shared" si="17"/>
        <v>831235.921875</v>
      </c>
      <c r="AB20" s="1000"/>
      <c r="AC20" s="1000">
        <f t="shared" si="18"/>
        <v>831235.921875</v>
      </c>
      <c r="AD20" s="1000"/>
      <c r="AE20" s="1000">
        <f t="shared" si="19"/>
        <v>831235.921875</v>
      </c>
      <c r="AF20" s="1000"/>
      <c r="AG20" s="1000">
        <f t="shared" si="20"/>
        <v>831235.921875</v>
      </c>
      <c r="AH20" s="1000"/>
      <c r="AI20" s="1000">
        <f t="shared" si="21"/>
        <v>831235.921875</v>
      </c>
      <c r="AJ20" s="1000"/>
      <c r="AK20" s="1000">
        <f t="shared" si="22"/>
        <v>831235.921875</v>
      </c>
      <c r="AL20" s="1000"/>
      <c r="AM20" s="1000">
        <f t="shared" si="23"/>
        <v>831235.921875</v>
      </c>
      <c r="AN20" s="1000"/>
      <c r="AO20" s="1000">
        <f t="shared" si="24"/>
        <v>831235.921875</v>
      </c>
      <c r="AP20" s="1000"/>
      <c r="AQ20" s="1000">
        <f t="shared" si="25"/>
        <v>831235.921875</v>
      </c>
      <c r="AR20" s="1000"/>
      <c r="AS20" s="1000">
        <f t="shared" si="26"/>
        <v>831235.921875</v>
      </c>
      <c r="AT20" s="998">
        <f t="shared" si="27"/>
        <v>831235.921875</v>
      </c>
      <c r="AU20" s="998">
        <f t="shared" si="28"/>
        <v>99748.310624999998</v>
      </c>
      <c r="AV20" s="998">
        <f t="shared" si="29"/>
        <v>83123.592187500006</v>
      </c>
      <c r="AW20" s="998">
        <f t="shared" si="57"/>
        <v>1014107.8246875</v>
      </c>
      <c r="AX20" s="1001">
        <v>0.15</v>
      </c>
      <c r="AY20" s="998">
        <f t="shared" si="49"/>
        <v>152116.17370312501</v>
      </c>
      <c r="AZ20" s="998">
        <v>10000</v>
      </c>
      <c r="BA20" s="998">
        <f t="shared" si="50"/>
        <v>142116.17370312501</v>
      </c>
      <c r="BB20" s="998">
        <f t="shared" si="30"/>
        <v>1</v>
      </c>
      <c r="BC20" s="997">
        <f t="shared" si="51"/>
        <v>142116.17370312501</v>
      </c>
      <c r="BD20" s="1002">
        <f t="shared" si="31"/>
        <v>0.85</v>
      </c>
      <c r="BE20" s="998">
        <f t="shared" si="52"/>
        <v>861991.65098437504</v>
      </c>
      <c r="BF20" s="1003">
        <f t="shared" si="32"/>
        <v>7747.8246514351467</v>
      </c>
      <c r="BG20" s="1003">
        <f t="shared" si="33"/>
        <v>10008.453969494676</v>
      </c>
      <c r="BH20" s="1003">
        <f t="shared" si="34"/>
        <v>17068.467821265294</v>
      </c>
      <c r="BJ20" s="818"/>
      <c r="BK20" s="818"/>
      <c r="BL20" s="907">
        <f t="shared" si="53"/>
        <v>45658</v>
      </c>
      <c r="BM20" s="908">
        <f t="shared" si="35"/>
        <v>15</v>
      </c>
      <c r="BN20" s="909"/>
      <c r="BO20" s="907">
        <f t="shared" si="36"/>
        <v>45723</v>
      </c>
      <c r="BP20" s="908">
        <f t="shared" si="37"/>
        <v>17</v>
      </c>
      <c r="BQ20" s="818"/>
      <c r="BR20" s="1004"/>
      <c r="BS20" s="818"/>
      <c r="BT20" s="818"/>
      <c r="BU20" s="818"/>
      <c r="BV20" s="818"/>
      <c r="BW20" s="818"/>
      <c r="BX20" s="818"/>
      <c r="BY20" s="818"/>
      <c r="BZ20" s="1004"/>
      <c r="CA20" s="1016" t="s">
        <v>262</v>
      </c>
      <c r="CB20" s="1021" t="s">
        <v>262</v>
      </c>
      <c r="CC20" s="1017" t="b">
        <f t="shared" si="38"/>
        <v>1</v>
      </c>
      <c r="CD20" s="695" t="s">
        <v>262</v>
      </c>
      <c r="CE20" s="1018" t="b">
        <f t="shared" si="39"/>
        <v>1</v>
      </c>
      <c r="CG20" s="1027"/>
      <c r="CH20" s="1028"/>
      <c r="ED20" s="947"/>
      <c r="EF20" s="947"/>
      <c r="EG20" s="947"/>
      <c r="EH20" s="947"/>
      <c r="EI20" s="947"/>
      <c r="EJ20" s="947"/>
      <c r="EK20" s="947"/>
      <c r="EL20" s="947"/>
      <c r="EW20" s="1020"/>
      <c r="EX20" s="938">
        <f t="shared" si="2"/>
        <v>1014107.8246875</v>
      </c>
      <c r="EY20" s="942">
        <f t="shared" si="3"/>
        <v>0.15</v>
      </c>
      <c r="EZ20" s="938">
        <f t="shared" si="4"/>
        <v>152116.17370312501</v>
      </c>
      <c r="FA20" s="938">
        <f t="shared" si="5"/>
        <v>10000</v>
      </c>
      <c r="FB20" s="938">
        <f t="shared" si="6"/>
        <v>142116.17370312501</v>
      </c>
      <c r="FC20" s="813">
        <f t="shared" si="40"/>
        <v>25</v>
      </c>
      <c r="FD20" s="814">
        <f t="shared" si="41"/>
        <v>5684.6469481250006</v>
      </c>
      <c r="FE20" s="942">
        <f t="shared" si="42"/>
        <v>0.85</v>
      </c>
      <c r="FF20" s="938">
        <f t="shared" si="43"/>
        <v>861991.65098437504</v>
      </c>
      <c r="FG20" s="940">
        <f t="shared" si="44"/>
        <v>7747.8246514351467</v>
      </c>
      <c r="FH20" s="940">
        <f t="shared" si="45"/>
        <v>10008.453969494676</v>
      </c>
      <c r="FI20" s="940">
        <f t="shared" si="46"/>
        <v>17068.467821265294</v>
      </c>
      <c r="FJ20" s="840"/>
      <c r="FK20" s="938">
        <f t="shared" si="58"/>
        <v>-136431.526755</v>
      </c>
      <c r="FN20" s="1030"/>
      <c r="FO20" s="1030"/>
      <c r="FP20" s="1030"/>
      <c r="FU20" s="1030"/>
      <c r="FV20" s="1030"/>
    </row>
    <row r="21" spans="1:178" s="695" customFormat="1" ht="14.5" hidden="1" x14ac:dyDescent="0.35">
      <c r="A21" s="974">
        <f t="shared" si="47"/>
        <v>10</v>
      </c>
      <c r="B21" s="813"/>
      <c r="C21" s="974" t="s">
        <v>373</v>
      </c>
      <c r="D21" s="813">
        <f t="shared" si="48"/>
        <v>10</v>
      </c>
      <c r="E21" s="974" t="s">
        <v>374</v>
      </c>
      <c r="F21" s="996" t="s">
        <v>483</v>
      </c>
      <c r="G21" s="996" t="s">
        <v>375</v>
      </c>
      <c r="H21" s="996">
        <v>13.5</v>
      </c>
      <c r="I21" s="997">
        <v>52000</v>
      </c>
      <c r="J21" s="998">
        <f t="shared" si="7"/>
        <v>702000</v>
      </c>
      <c r="K21" s="998">
        <v>40000</v>
      </c>
      <c r="L21" s="998">
        <v>30000</v>
      </c>
      <c r="M21" s="998"/>
      <c r="N21" s="998">
        <f t="shared" si="8"/>
        <v>772000</v>
      </c>
      <c r="O21" s="998">
        <f t="shared" si="9"/>
        <v>19300</v>
      </c>
      <c r="P21" s="998">
        <f t="shared" si="10"/>
        <v>791300</v>
      </c>
      <c r="Q21" s="999">
        <f t="shared" si="11"/>
        <v>1.2500000000000001E-2</v>
      </c>
      <c r="R21" s="998">
        <f t="shared" si="12"/>
        <v>9891.25</v>
      </c>
      <c r="S21" s="1000" t="s">
        <v>450</v>
      </c>
      <c r="T21" s="1000">
        <f t="shared" si="13"/>
        <v>801191.25</v>
      </c>
      <c r="U21" s="1000"/>
      <c r="V21" s="1000">
        <f t="shared" si="14"/>
        <v>30044.671875</v>
      </c>
      <c r="W21" s="1000">
        <f t="shared" si="15"/>
        <v>831235.921875</v>
      </c>
      <c r="X21" s="1000"/>
      <c r="Y21" s="1000">
        <f t="shared" si="16"/>
        <v>831235.921875</v>
      </c>
      <c r="Z21" s="1000"/>
      <c r="AA21" s="1000">
        <f t="shared" si="17"/>
        <v>831235.921875</v>
      </c>
      <c r="AB21" s="1000"/>
      <c r="AC21" s="1000">
        <f t="shared" si="18"/>
        <v>831235.921875</v>
      </c>
      <c r="AD21" s="1000"/>
      <c r="AE21" s="1000">
        <f t="shared" si="19"/>
        <v>831235.921875</v>
      </c>
      <c r="AF21" s="1000"/>
      <c r="AG21" s="1000">
        <f t="shared" si="20"/>
        <v>831235.921875</v>
      </c>
      <c r="AH21" s="1000"/>
      <c r="AI21" s="1000">
        <f t="shared" si="21"/>
        <v>831235.921875</v>
      </c>
      <c r="AJ21" s="1000"/>
      <c r="AK21" s="1000">
        <f t="shared" si="22"/>
        <v>831235.921875</v>
      </c>
      <c r="AL21" s="1000"/>
      <c r="AM21" s="1000">
        <f t="shared" si="23"/>
        <v>831235.921875</v>
      </c>
      <c r="AN21" s="1000"/>
      <c r="AO21" s="1000">
        <f t="shared" si="24"/>
        <v>831235.921875</v>
      </c>
      <c r="AP21" s="1000"/>
      <c r="AQ21" s="1000">
        <f t="shared" si="25"/>
        <v>831235.921875</v>
      </c>
      <c r="AR21" s="1000"/>
      <c r="AS21" s="1000">
        <f t="shared" si="26"/>
        <v>831235.921875</v>
      </c>
      <c r="AT21" s="998">
        <f t="shared" si="27"/>
        <v>831235.921875</v>
      </c>
      <c r="AU21" s="998">
        <f t="shared" si="28"/>
        <v>99748.310624999998</v>
      </c>
      <c r="AV21" s="998">
        <f t="shared" si="29"/>
        <v>83123.592187500006</v>
      </c>
      <c r="AW21" s="998">
        <f t="shared" si="57"/>
        <v>1014107.8246875</v>
      </c>
      <c r="AX21" s="1001">
        <v>0.15</v>
      </c>
      <c r="AY21" s="998">
        <f t="shared" si="49"/>
        <v>152116.17370312501</v>
      </c>
      <c r="AZ21" s="998">
        <v>10000</v>
      </c>
      <c r="BA21" s="998">
        <f t="shared" si="50"/>
        <v>142116.17370312501</v>
      </c>
      <c r="BB21" s="998">
        <f t="shared" si="30"/>
        <v>1</v>
      </c>
      <c r="BC21" s="997">
        <f t="shared" si="51"/>
        <v>142116.17370312501</v>
      </c>
      <c r="BD21" s="1002">
        <f t="shared" si="31"/>
        <v>0.85</v>
      </c>
      <c r="BE21" s="998">
        <f t="shared" si="52"/>
        <v>861991.65098437504</v>
      </c>
      <c r="BF21" s="1003">
        <f t="shared" si="32"/>
        <v>7747.8246514351467</v>
      </c>
      <c r="BG21" s="1003">
        <f t="shared" si="33"/>
        <v>10008.453969494676</v>
      </c>
      <c r="BH21" s="1003">
        <f t="shared" si="34"/>
        <v>17068.467821265294</v>
      </c>
      <c r="BJ21" s="818"/>
      <c r="BK21" s="818"/>
      <c r="BL21" s="907">
        <f t="shared" si="53"/>
        <v>45658</v>
      </c>
      <c r="BM21" s="908">
        <f t="shared" si="35"/>
        <v>15</v>
      </c>
      <c r="BN21" s="909"/>
      <c r="BO21" s="907">
        <f t="shared" si="36"/>
        <v>45723</v>
      </c>
      <c r="BP21" s="908">
        <f t="shared" si="37"/>
        <v>17</v>
      </c>
      <c r="BQ21" s="818"/>
      <c r="BR21" s="1004"/>
      <c r="BS21" s="252"/>
      <c r="BT21" s="885" t="s">
        <v>310</v>
      </c>
      <c r="BU21" s="818"/>
      <c r="BV21" s="818"/>
      <c r="BW21" s="818"/>
      <c r="BX21" s="818"/>
      <c r="BY21" s="818"/>
      <c r="BZ21" s="1004"/>
      <c r="CA21" s="1016" t="s">
        <v>262</v>
      </c>
      <c r="CB21" s="1021" t="s">
        <v>262</v>
      </c>
      <c r="CC21" s="1017" t="b">
        <f t="shared" si="38"/>
        <v>1</v>
      </c>
      <c r="CD21" s="695" t="s">
        <v>262</v>
      </c>
      <c r="CE21" s="1018" t="b">
        <f t="shared" si="39"/>
        <v>1</v>
      </c>
      <c r="CG21" s="1027"/>
      <c r="CH21" s="1028"/>
      <c r="ED21" s="947"/>
      <c r="EF21" s="947"/>
      <c r="EG21" s="947"/>
      <c r="EH21" s="947"/>
      <c r="EI21" s="947"/>
      <c r="EJ21" s="947"/>
      <c r="EK21" s="947"/>
      <c r="EL21" s="947"/>
      <c r="EW21" s="1020"/>
      <c r="EX21" s="938">
        <f t="shared" si="2"/>
        <v>1014107.8246875</v>
      </c>
      <c r="EY21" s="942">
        <f t="shared" si="3"/>
        <v>0.15</v>
      </c>
      <c r="EZ21" s="938">
        <f t="shared" si="4"/>
        <v>152116.17370312501</v>
      </c>
      <c r="FA21" s="938">
        <f t="shared" si="5"/>
        <v>10000</v>
      </c>
      <c r="FB21" s="938">
        <f t="shared" si="6"/>
        <v>142116.17370312501</v>
      </c>
      <c r="FC21" s="813">
        <f t="shared" si="40"/>
        <v>25</v>
      </c>
      <c r="FD21" s="814">
        <f t="shared" si="41"/>
        <v>5684.6469481250006</v>
      </c>
      <c r="FE21" s="942">
        <f t="shared" si="42"/>
        <v>0.85</v>
      </c>
      <c r="FF21" s="938">
        <f t="shared" si="43"/>
        <v>861991.65098437504</v>
      </c>
      <c r="FG21" s="940">
        <f t="shared" si="44"/>
        <v>7747.8246514351467</v>
      </c>
      <c r="FH21" s="940">
        <f t="shared" si="45"/>
        <v>10008.453969494676</v>
      </c>
      <c r="FI21" s="940">
        <f t="shared" si="46"/>
        <v>17068.467821265294</v>
      </c>
      <c r="FJ21" s="840"/>
      <c r="FK21" s="938">
        <f t="shared" si="58"/>
        <v>-136431.526755</v>
      </c>
      <c r="FN21" s="1030"/>
      <c r="FO21" s="1030"/>
      <c r="FP21" s="1030"/>
      <c r="FU21" s="1030"/>
      <c r="FV21" s="1030"/>
    </row>
    <row r="22" spans="1:178" s="695" customFormat="1" ht="14.5" hidden="1" x14ac:dyDescent="0.35">
      <c r="A22" s="1044">
        <f t="shared" si="47"/>
        <v>11</v>
      </c>
      <c r="B22" s="813"/>
      <c r="C22" s="1044" t="s">
        <v>373</v>
      </c>
      <c r="D22" s="813">
        <f t="shared" si="48"/>
        <v>11</v>
      </c>
      <c r="E22" s="1044" t="s">
        <v>374</v>
      </c>
      <c r="F22" s="1045" t="s">
        <v>484</v>
      </c>
      <c r="G22" s="1045" t="s">
        <v>375</v>
      </c>
      <c r="H22" s="1045">
        <v>13.5</v>
      </c>
      <c r="I22" s="1046">
        <v>52000</v>
      </c>
      <c r="J22" s="1005">
        <f t="shared" si="7"/>
        <v>702000</v>
      </c>
      <c r="K22" s="1005">
        <v>40000</v>
      </c>
      <c r="L22" s="1005">
        <v>30000</v>
      </c>
      <c r="M22" s="1005"/>
      <c r="N22" s="1005">
        <f t="shared" si="8"/>
        <v>772000</v>
      </c>
      <c r="O22" s="1005">
        <f t="shared" si="9"/>
        <v>19300</v>
      </c>
      <c r="P22" s="1005">
        <f t="shared" si="10"/>
        <v>791300</v>
      </c>
      <c r="Q22" s="1047">
        <f t="shared" si="11"/>
        <v>1.2500000000000001E-2</v>
      </c>
      <c r="R22" s="1005">
        <f t="shared" si="12"/>
        <v>9891.25</v>
      </c>
      <c r="S22" s="1048" t="s">
        <v>450</v>
      </c>
      <c r="T22" s="1048">
        <f t="shared" si="13"/>
        <v>801191.25</v>
      </c>
      <c r="U22" s="1048"/>
      <c r="V22" s="1048">
        <f t="shared" si="14"/>
        <v>30044.671875</v>
      </c>
      <c r="W22" s="1048">
        <f t="shared" si="15"/>
        <v>831235.921875</v>
      </c>
      <c r="X22" s="1048"/>
      <c r="Y22" s="1048">
        <f t="shared" si="16"/>
        <v>831235.921875</v>
      </c>
      <c r="Z22" s="1048"/>
      <c r="AA22" s="1048">
        <f t="shared" si="17"/>
        <v>831235.921875</v>
      </c>
      <c r="AB22" s="1048"/>
      <c r="AC22" s="1048">
        <f t="shared" si="18"/>
        <v>831235.921875</v>
      </c>
      <c r="AD22" s="1048"/>
      <c r="AE22" s="1048">
        <f t="shared" si="19"/>
        <v>831235.921875</v>
      </c>
      <c r="AF22" s="1048"/>
      <c r="AG22" s="1048">
        <f t="shared" si="20"/>
        <v>831235.921875</v>
      </c>
      <c r="AH22" s="1048"/>
      <c r="AI22" s="1048">
        <f t="shared" si="21"/>
        <v>831235.921875</v>
      </c>
      <c r="AJ22" s="1048"/>
      <c r="AK22" s="1048">
        <f t="shared" si="22"/>
        <v>831235.921875</v>
      </c>
      <c r="AL22" s="1048"/>
      <c r="AM22" s="1048">
        <f t="shared" si="23"/>
        <v>831235.921875</v>
      </c>
      <c r="AN22" s="1048"/>
      <c r="AO22" s="1048">
        <f t="shared" si="24"/>
        <v>831235.921875</v>
      </c>
      <c r="AP22" s="1048"/>
      <c r="AQ22" s="1000">
        <f t="shared" si="25"/>
        <v>831235.921875</v>
      </c>
      <c r="AR22" s="1048"/>
      <c r="AS22" s="1000">
        <f t="shared" si="26"/>
        <v>831235.921875</v>
      </c>
      <c r="AT22" s="1005">
        <f t="shared" si="27"/>
        <v>831235.921875</v>
      </c>
      <c r="AU22" s="1005">
        <f t="shared" si="28"/>
        <v>99748.310624999998</v>
      </c>
      <c r="AV22" s="1005">
        <f t="shared" si="29"/>
        <v>83123.592187500006</v>
      </c>
      <c r="AW22" s="1005">
        <f t="shared" si="57"/>
        <v>1014107.8246875</v>
      </c>
      <c r="AX22" s="1049">
        <v>0.15</v>
      </c>
      <c r="AY22" s="1005">
        <f t="shared" si="49"/>
        <v>152116.17370312501</v>
      </c>
      <c r="AZ22" s="1005">
        <v>10000</v>
      </c>
      <c r="BA22" s="1005">
        <f t="shared" si="50"/>
        <v>142116.17370312501</v>
      </c>
      <c r="BB22" s="1005">
        <f t="shared" si="30"/>
        <v>1</v>
      </c>
      <c r="BC22" s="1046">
        <f t="shared" si="51"/>
        <v>142116.17370312501</v>
      </c>
      <c r="BD22" s="1050">
        <f t="shared" si="31"/>
        <v>0.85</v>
      </c>
      <c r="BE22" s="1005">
        <f t="shared" si="52"/>
        <v>861991.65098437504</v>
      </c>
      <c r="BF22" s="1051">
        <f t="shared" si="32"/>
        <v>7747.8246514351467</v>
      </c>
      <c r="BG22" s="1051">
        <f t="shared" si="33"/>
        <v>10008.453969494676</v>
      </c>
      <c r="BH22" s="1051">
        <f t="shared" si="34"/>
        <v>17068.467821265294</v>
      </c>
      <c r="BJ22" s="818"/>
      <c r="BK22" s="818"/>
      <c r="BL22" s="907">
        <f t="shared" si="53"/>
        <v>45658</v>
      </c>
      <c r="BM22" s="908">
        <f t="shared" si="35"/>
        <v>15</v>
      </c>
      <c r="BN22" s="909"/>
      <c r="BO22" s="907">
        <f t="shared" si="36"/>
        <v>45723</v>
      </c>
      <c r="BP22" s="908">
        <f t="shared" si="37"/>
        <v>17</v>
      </c>
      <c r="BQ22" s="818"/>
      <c r="BR22" s="1004"/>
      <c r="BS22" s="252" t="s">
        <v>314</v>
      </c>
      <c r="BT22" s="886" t="s">
        <v>342</v>
      </c>
      <c r="BU22" s="818"/>
      <c r="BV22" s="818"/>
      <c r="BW22" s="818"/>
      <c r="BX22" s="818"/>
      <c r="BY22" s="818"/>
      <c r="BZ22" s="1004"/>
      <c r="CA22" s="1016" t="s">
        <v>262</v>
      </c>
      <c r="CB22" s="1021" t="s">
        <v>262</v>
      </c>
      <c r="CC22" s="1017" t="b">
        <f t="shared" si="38"/>
        <v>1</v>
      </c>
      <c r="CD22" s="695" t="s">
        <v>262</v>
      </c>
      <c r="CE22" s="1018" t="b">
        <f t="shared" si="39"/>
        <v>1</v>
      </c>
      <c r="CG22" s="1027"/>
      <c r="CH22" s="1028"/>
      <c r="ED22" s="947"/>
      <c r="EF22" s="947"/>
      <c r="EG22" s="947"/>
      <c r="EH22" s="947"/>
      <c r="EI22" s="947"/>
      <c r="EJ22" s="947"/>
      <c r="EK22" s="947"/>
      <c r="EL22" s="947"/>
      <c r="EW22" s="1020"/>
      <c r="EX22" s="938">
        <f t="shared" si="2"/>
        <v>1014107.8246875</v>
      </c>
      <c r="EY22" s="942">
        <f t="shared" si="3"/>
        <v>0.15</v>
      </c>
      <c r="EZ22" s="938">
        <f t="shared" si="4"/>
        <v>152116.17370312501</v>
      </c>
      <c r="FA22" s="938">
        <f t="shared" si="5"/>
        <v>10000</v>
      </c>
      <c r="FB22" s="938">
        <f t="shared" si="6"/>
        <v>142116.17370312501</v>
      </c>
      <c r="FC22" s="813">
        <f t="shared" si="40"/>
        <v>25</v>
      </c>
      <c r="FD22" s="814">
        <f t="shared" si="41"/>
        <v>5684.6469481250006</v>
      </c>
      <c r="FE22" s="942">
        <f t="shared" si="42"/>
        <v>0.85</v>
      </c>
      <c r="FF22" s="938">
        <f t="shared" si="43"/>
        <v>861991.65098437504</v>
      </c>
      <c r="FG22" s="940">
        <f t="shared" si="44"/>
        <v>7747.8246514351467</v>
      </c>
      <c r="FH22" s="940">
        <f t="shared" si="45"/>
        <v>10008.453969494676</v>
      </c>
      <c r="FI22" s="940">
        <f t="shared" si="46"/>
        <v>17068.467821265294</v>
      </c>
      <c r="FJ22" s="840"/>
      <c r="FK22" s="938">
        <f t="shared" si="58"/>
        <v>-136431.526755</v>
      </c>
      <c r="FN22" s="1030"/>
      <c r="FO22" s="1030"/>
      <c r="FP22" s="1030"/>
      <c r="FU22" s="1030"/>
      <c r="FV22" s="1030"/>
    </row>
    <row r="23" spans="1:178" s="695" customFormat="1" ht="14.5" x14ac:dyDescent="0.35">
      <c r="A23" s="974">
        <f t="shared" si="47"/>
        <v>12</v>
      </c>
      <c r="B23" s="813"/>
      <c r="C23" s="974" t="s">
        <v>373</v>
      </c>
      <c r="D23" s="813">
        <f t="shared" si="48"/>
        <v>12</v>
      </c>
      <c r="E23" s="974" t="s">
        <v>374</v>
      </c>
      <c r="F23" s="996" t="s">
        <v>485</v>
      </c>
      <c r="G23" s="996" t="s">
        <v>375</v>
      </c>
      <c r="H23" s="996">
        <v>13.5</v>
      </c>
      <c r="I23" s="997">
        <v>52000</v>
      </c>
      <c r="J23" s="998">
        <f t="shared" si="7"/>
        <v>702000</v>
      </c>
      <c r="K23" s="998">
        <v>40000</v>
      </c>
      <c r="L23" s="998">
        <v>30000</v>
      </c>
      <c r="M23" s="998"/>
      <c r="N23" s="998">
        <f t="shared" si="8"/>
        <v>772000</v>
      </c>
      <c r="O23" s="998">
        <f t="shared" si="9"/>
        <v>19300</v>
      </c>
      <c r="P23" s="998">
        <f t="shared" si="10"/>
        <v>791300</v>
      </c>
      <c r="Q23" s="999">
        <f t="shared" si="11"/>
        <v>1.2500000000000001E-2</v>
      </c>
      <c r="R23" s="998">
        <f t="shared" si="12"/>
        <v>9891.25</v>
      </c>
      <c r="S23" s="1000">
        <v>1495.557</v>
      </c>
      <c r="T23" s="1000">
        <f t="shared" si="13"/>
        <v>802686.80700000003</v>
      </c>
      <c r="U23" s="1000"/>
      <c r="V23" s="1000">
        <f t="shared" si="14"/>
        <v>30100.755262499999</v>
      </c>
      <c r="W23" s="1000">
        <f t="shared" si="15"/>
        <v>832787.56226250005</v>
      </c>
      <c r="X23" s="1000"/>
      <c r="Y23" s="1000">
        <f t="shared" si="16"/>
        <v>832787.56226250005</v>
      </c>
      <c r="Z23" s="1000"/>
      <c r="AA23" s="1000">
        <f t="shared" si="17"/>
        <v>832787.56226250005</v>
      </c>
      <c r="AB23" s="1000"/>
      <c r="AC23" s="1000">
        <f t="shared" si="18"/>
        <v>832787.56226250005</v>
      </c>
      <c r="AD23" s="1000"/>
      <c r="AE23" s="1000">
        <f t="shared" si="19"/>
        <v>832787.56226250005</v>
      </c>
      <c r="AF23" s="1000"/>
      <c r="AG23" s="1000">
        <f t="shared" si="20"/>
        <v>832787.56226250005</v>
      </c>
      <c r="AH23" s="1000"/>
      <c r="AI23" s="1000">
        <f t="shared" si="21"/>
        <v>832787.56226250005</v>
      </c>
      <c r="AJ23" s="1000"/>
      <c r="AK23" s="1000">
        <f t="shared" si="22"/>
        <v>832787.56226250005</v>
      </c>
      <c r="AL23" s="1000"/>
      <c r="AM23" s="1000">
        <f t="shared" si="23"/>
        <v>832787.56226250005</v>
      </c>
      <c r="AN23" s="1000"/>
      <c r="AO23" s="1000">
        <f t="shared" si="24"/>
        <v>832787.56226250005</v>
      </c>
      <c r="AP23" s="1000"/>
      <c r="AQ23" s="1000">
        <f t="shared" si="25"/>
        <v>832787.56226250005</v>
      </c>
      <c r="AR23" s="1000"/>
      <c r="AS23" s="1000">
        <f t="shared" si="26"/>
        <v>832787.56226250005</v>
      </c>
      <c r="AT23" s="998">
        <f t="shared" si="27"/>
        <v>832787.56226250005</v>
      </c>
      <c r="AU23" s="998">
        <f t="shared" si="28"/>
        <v>99934.507471500008</v>
      </c>
      <c r="AV23" s="998">
        <f t="shared" si="29"/>
        <v>83278.756226250014</v>
      </c>
      <c r="AW23" s="998">
        <f t="shared" si="57"/>
        <v>1016000.82596025</v>
      </c>
      <c r="AX23" s="1001">
        <v>0.15</v>
      </c>
      <c r="AY23" s="998">
        <f t="shared" si="49"/>
        <v>152400.1238940375</v>
      </c>
      <c r="AZ23" s="998">
        <v>10000</v>
      </c>
      <c r="BA23" s="998">
        <f t="shared" si="50"/>
        <v>142400.1238940375</v>
      </c>
      <c r="BB23" s="998">
        <f t="shared" si="30"/>
        <v>1</v>
      </c>
      <c r="BC23" s="997">
        <f t="shared" si="51"/>
        <v>142400.1238940375</v>
      </c>
      <c r="BD23" s="1002">
        <f t="shared" si="31"/>
        <v>0.85</v>
      </c>
      <c r="BE23" s="998">
        <f t="shared" si="52"/>
        <v>863600.70206621243</v>
      </c>
      <c r="BF23" s="1003">
        <f t="shared" si="32"/>
        <v>7762.2872574511575</v>
      </c>
      <c r="BG23" s="1003">
        <f t="shared" si="33"/>
        <v>10027.136416904397</v>
      </c>
      <c r="BH23" s="1003">
        <f t="shared" si="34"/>
        <v>17100.32896119832</v>
      </c>
      <c r="BJ23" s="818"/>
      <c r="BK23" s="818"/>
      <c r="BL23" s="907">
        <f t="shared" si="53"/>
        <v>45658</v>
      </c>
      <c r="BM23" s="908">
        <f t="shared" si="35"/>
        <v>15</v>
      </c>
      <c r="BN23" s="909"/>
      <c r="BO23" s="907">
        <f t="shared" si="36"/>
        <v>45723</v>
      </c>
      <c r="BP23" s="908">
        <f t="shared" si="37"/>
        <v>17</v>
      </c>
      <c r="BQ23" s="818"/>
      <c r="BR23" s="1004"/>
      <c r="BS23" s="252"/>
      <c r="BT23" s="252"/>
      <c r="BU23" s="818"/>
      <c r="BV23" s="818"/>
      <c r="BW23" s="818"/>
      <c r="BX23" s="818"/>
      <c r="BY23" s="818"/>
      <c r="BZ23" s="1004"/>
      <c r="CA23" s="1016" t="s">
        <v>263</v>
      </c>
      <c r="CB23" s="1021" t="s">
        <v>263</v>
      </c>
      <c r="CC23" s="1017" t="b">
        <f t="shared" si="38"/>
        <v>1</v>
      </c>
      <c r="CD23" s="695" t="s">
        <v>263</v>
      </c>
      <c r="CE23" s="1018" t="b">
        <f t="shared" si="39"/>
        <v>1</v>
      </c>
      <c r="CG23" s="1027"/>
      <c r="CH23" s="1028"/>
      <c r="ED23" s="947"/>
      <c r="EF23" s="947"/>
      <c r="EG23" s="947"/>
      <c r="EH23" s="947"/>
      <c r="EI23" s="947"/>
      <c r="EJ23" s="947"/>
      <c r="EK23" s="947"/>
      <c r="EL23" s="947"/>
      <c r="EW23" s="1020"/>
      <c r="EX23" s="938">
        <f t="shared" si="2"/>
        <v>1016000.82596025</v>
      </c>
      <c r="EY23" s="942">
        <f t="shared" si="3"/>
        <v>0.15</v>
      </c>
      <c r="EZ23" s="938">
        <f t="shared" si="4"/>
        <v>152400.1238940375</v>
      </c>
      <c r="FA23" s="938">
        <f t="shared" si="5"/>
        <v>10000</v>
      </c>
      <c r="FB23" s="938">
        <f t="shared" si="6"/>
        <v>142400.1238940375</v>
      </c>
      <c r="FC23" s="813">
        <f t="shared" si="40"/>
        <v>25</v>
      </c>
      <c r="FD23" s="814">
        <f t="shared" si="41"/>
        <v>5696.0049557615002</v>
      </c>
      <c r="FE23" s="942">
        <f t="shared" si="42"/>
        <v>0.85</v>
      </c>
      <c r="FF23" s="938">
        <f t="shared" si="43"/>
        <v>863600.70206621243</v>
      </c>
      <c r="FG23" s="940">
        <f t="shared" si="44"/>
        <v>7762.2872574511575</v>
      </c>
      <c r="FH23" s="940">
        <f t="shared" si="45"/>
        <v>10027.136416904397</v>
      </c>
      <c r="FI23" s="940">
        <f t="shared" si="46"/>
        <v>17100.32896119832</v>
      </c>
      <c r="FJ23" s="840"/>
      <c r="FK23" s="938">
        <f t="shared" si="58"/>
        <v>-136704.11893827599</v>
      </c>
      <c r="FN23" s="1030"/>
      <c r="FO23" s="1030"/>
      <c r="FP23" s="1030"/>
      <c r="FU23" s="1030"/>
      <c r="FV23" s="1030"/>
    </row>
    <row r="24" spans="1:178" s="695" customFormat="1" ht="14.5" x14ac:dyDescent="0.35">
      <c r="A24" s="974">
        <f t="shared" si="47"/>
        <v>13</v>
      </c>
      <c r="B24" s="813"/>
      <c r="C24" s="974" t="s">
        <v>373</v>
      </c>
      <c r="D24" s="813">
        <f t="shared" si="48"/>
        <v>13</v>
      </c>
      <c r="E24" s="974" t="s">
        <v>374</v>
      </c>
      <c r="F24" s="996" t="s">
        <v>486</v>
      </c>
      <c r="G24" s="996" t="s">
        <v>375</v>
      </c>
      <c r="H24" s="996">
        <v>13.5</v>
      </c>
      <c r="I24" s="997">
        <v>52000</v>
      </c>
      <c r="J24" s="998">
        <f t="shared" si="7"/>
        <v>702000</v>
      </c>
      <c r="K24" s="998">
        <v>40000</v>
      </c>
      <c r="L24" s="998">
        <v>30000</v>
      </c>
      <c r="M24" s="998"/>
      <c r="N24" s="998">
        <f t="shared" si="8"/>
        <v>772000</v>
      </c>
      <c r="O24" s="998">
        <f t="shared" si="9"/>
        <v>19300</v>
      </c>
      <c r="P24" s="998">
        <f t="shared" si="10"/>
        <v>791300</v>
      </c>
      <c r="Q24" s="999">
        <f t="shared" si="11"/>
        <v>1.2500000000000001E-2</v>
      </c>
      <c r="R24" s="998">
        <f t="shared" si="12"/>
        <v>9891.25</v>
      </c>
      <c r="S24" s="1000">
        <v>1495.557</v>
      </c>
      <c r="T24" s="1000">
        <f t="shared" si="13"/>
        <v>802686.80700000003</v>
      </c>
      <c r="U24" s="1000"/>
      <c r="V24" s="1000">
        <f t="shared" si="14"/>
        <v>30100.755262499999</v>
      </c>
      <c r="W24" s="1000">
        <f t="shared" si="15"/>
        <v>832787.56226250005</v>
      </c>
      <c r="X24" s="1000"/>
      <c r="Y24" s="1000">
        <f t="shared" si="16"/>
        <v>832787.56226250005</v>
      </c>
      <c r="Z24" s="1000"/>
      <c r="AA24" s="1000">
        <f t="shared" si="17"/>
        <v>832787.56226250005</v>
      </c>
      <c r="AB24" s="1000"/>
      <c r="AC24" s="1000">
        <f t="shared" si="18"/>
        <v>832787.56226250005</v>
      </c>
      <c r="AD24" s="1000"/>
      <c r="AE24" s="1000">
        <f t="shared" si="19"/>
        <v>832787.56226250005</v>
      </c>
      <c r="AF24" s="1000"/>
      <c r="AG24" s="1000">
        <f t="shared" si="20"/>
        <v>832787.56226250005</v>
      </c>
      <c r="AH24" s="1000"/>
      <c r="AI24" s="1000">
        <f t="shared" si="21"/>
        <v>832787.56226250005</v>
      </c>
      <c r="AJ24" s="1000"/>
      <c r="AK24" s="1000">
        <f t="shared" si="22"/>
        <v>832787.56226250005</v>
      </c>
      <c r="AL24" s="1000"/>
      <c r="AM24" s="1000">
        <f t="shared" si="23"/>
        <v>832787.56226250005</v>
      </c>
      <c r="AN24" s="1000"/>
      <c r="AO24" s="1000">
        <f t="shared" si="24"/>
        <v>832787.56226250005</v>
      </c>
      <c r="AP24" s="1000"/>
      <c r="AQ24" s="1000">
        <f t="shared" si="25"/>
        <v>832787.56226250005</v>
      </c>
      <c r="AR24" s="1000"/>
      <c r="AS24" s="1000">
        <f t="shared" si="26"/>
        <v>832787.56226250005</v>
      </c>
      <c r="AT24" s="998">
        <f t="shared" si="27"/>
        <v>832787.56226250005</v>
      </c>
      <c r="AU24" s="998">
        <f t="shared" si="28"/>
        <v>99934.507471500008</v>
      </c>
      <c r="AV24" s="998">
        <f t="shared" si="29"/>
        <v>83278.756226250014</v>
      </c>
      <c r="AW24" s="998">
        <f t="shared" si="57"/>
        <v>1016000.82596025</v>
      </c>
      <c r="AX24" s="1001">
        <v>0.15</v>
      </c>
      <c r="AY24" s="998">
        <f t="shared" si="49"/>
        <v>152400.1238940375</v>
      </c>
      <c r="AZ24" s="998">
        <v>10000</v>
      </c>
      <c r="BA24" s="998">
        <f t="shared" si="50"/>
        <v>142400.1238940375</v>
      </c>
      <c r="BB24" s="998">
        <f t="shared" si="30"/>
        <v>1</v>
      </c>
      <c r="BC24" s="997">
        <f t="shared" si="51"/>
        <v>142400.1238940375</v>
      </c>
      <c r="BD24" s="1002">
        <f t="shared" si="31"/>
        <v>0.85</v>
      </c>
      <c r="BE24" s="998">
        <f t="shared" si="52"/>
        <v>863600.70206621243</v>
      </c>
      <c r="BF24" s="1003">
        <f t="shared" si="32"/>
        <v>7762.2872574511575</v>
      </c>
      <c r="BG24" s="1003">
        <f t="shared" si="33"/>
        <v>10027.136416904397</v>
      </c>
      <c r="BH24" s="1003">
        <f t="shared" si="34"/>
        <v>17100.32896119832</v>
      </c>
      <c r="BJ24" s="818"/>
      <c r="BK24" s="818"/>
      <c r="BL24" s="907">
        <f t="shared" si="53"/>
        <v>45658</v>
      </c>
      <c r="BM24" s="908">
        <f t="shared" si="35"/>
        <v>15</v>
      </c>
      <c r="BN24" s="909"/>
      <c r="BO24" s="907">
        <f t="shared" si="36"/>
        <v>45723</v>
      </c>
      <c r="BP24" s="908">
        <f t="shared" si="37"/>
        <v>17</v>
      </c>
      <c r="BQ24" s="818"/>
      <c r="BR24" s="1004"/>
      <c r="BS24" s="887" t="s">
        <v>311</v>
      </c>
      <c r="BT24" s="888" t="s">
        <v>384</v>
      </c>
      <c r="BU24" s="818"/>
      <c r="BV24" s="818"/>
      <c r="BW24" s="818"/>
      <c r="BX24" s="818"/>
      <c r="BY24" s="818"/>
      <c r="BZ24" s="1004"/>
      <c r="CA24" s="1016" t="s">
        <v>263</v>
      </c>
      <c r="CB24" s="1021" t="s">
        <v>263</v>
      </c>
      <c r="CC24" s="1017" t="b">
        <f t="shared" si="38"/>
        <v>1</v>
      </c>
      <c r="CD24" s="695" t="s">
        <v>263</v>
      </c>
      <c r="CE24" s="1018" t="b">
        <f t="shared" si="39"/>
        <v>1</v>
      </c>
      <c r="CG24" s="1027"/>
      <c r="CH24" s="1028"/>
      <c r="ED24" s="947"/>
      <c r="EF24" s="947"/>
      <c r="EG24" s="947"/>
      <c r="EH24" s="947"/>
      <c r="EI24" s="947"/>
      <c r="EJ24" s="947"/>
      <c r="EK24" s="947"/>
      <c r="EL24" s="947"/>
      <c r="EW24" s="1020"/>
      <c r="EX24" s="938">
        <f t="shared" si="2"/>
        <v>1016000.82596025</v>
      </c>
      <c r="EY24" s="942">
        <f t="shared" si="3"/>
        <v>0.15</v>
      </c>
      <c r="EZ24" s="938">
        <f t="shared" si="4"/>
        <v>152400.1238940375</v>
      </c>
      <c r="FA24" s="938">
        <f t="shared" si="5"/>
        <v>10000</v>
      </c>
      <c r="FB24" s="938">
        <f t="shared" si="6"/>
        <v>142400.1238940375</v>
      </c>
      <c r="FC24" s="813">
        <f t="shared" si="40"/>
        <v>25</v>
      </c>
      <c r="FD24" s="814">
        <f t="shared" si="41"/>
        <v>5696.0049557615002</v>
      </c>
      <c r="FE24" s="942">
        <f t="shared" si="42"/>
        <v>0.85</v>
      </c>
      <c r="FF24" s="938">
        <f t="shared" si="43"/>
        <v>863600.70206621243</v>
      </c>
      <c r="FG24" s="940">
        <f t="shared" si="44"/>
        <v>7762.2872574511575</v>
      </c>
      <c r="FH24" s="940">
        <f t="shared" si="45"/>
        <v>10027.136416904397</v>
      </c>
      <c r="FI24" s="940">
        <f t="shared" si="46"/>
        <v>17100.32896119832</v>
      </c>
      <c r="FJ24" s="840"/>
      <c r="FK24" s="938">
        <f t="shared" si="58"/>
        <v>-136704.11893827599</v>
      </c>
      <c r="FN24" s="1030"/>
      <c r="FO24" s="1030"/>
      <c r="FP24" s="1030"/>
      <c r="FU24" s="1030"/>
      <c r="FV24" s="1030"/>
    </row>
    <row r="25" spans="1:178" s="695" customFormat="1" ht="14.5" x14ac:dyDescent="0.35">
      <c r="A25" s="974">
        <f t="shared" si="47"/>
        <v>14</v>
      </c>
      <c r="B25" s="813"/>
      <c r="C25" s="974" t="s">
        <v>373</v>
      </c>
      <c r="D25" s="813">
        <f t="shared" si="48"/>
        <v>14</v>
      </c>
      <c r="E25" s="974" t="s">
        <v>374</v>
      </c>
      <c r="F25" s="996" t="s">
        <v>487</v>
      </c>
      <c r="G25" s="996" t="s">
        <v>375</v>
      </c>
      <c r="H25" s="996">
        <v>13.5</v>
      </c>
      <c r="I25" s="997">
        <v>52000</v>
      </c>
      <c r="J25" s="998">
        <f t="shared" si="7"/>
        <v>702000</v>
      </c>
      <c r="K25" s="998">
        <v>40000</v>
      </c>
      <c r="L25" s="998">
        <v>30000</v>
      </c>
      <c r="M25" s="998"/>
      <c r="N25" s="998">
        <f t="shared" si="8"/>
        <v>772000</v>
      </c>
      <c r="O25" s="998">
        <f t="shared" si="9"/>
        <v>19300</v>
      </c>
      <c r="P25" s="998">
        <f t="shared" si="10"/>
        <v>791300</v>
      </c>
      <c r="Q25" s="999">
        <f t="shared" si="11"/>
        <v>1.2500000000000001E-2</v>
      </c>
      <c r="R25" s="998">
        <f t="shared" si="12"/>
        <v>9891.25</v>
      </c>
      <c r="S25" s="1000">
        <v>1495.557</v>
      </c>
      <c r="T25" s="1000">
        <f t="shared" si="13"/>
        <v>802686.80700000003</v>
      </c>
      <c r="U25" s="1000"/>
      <c r="V25" s="1000">
        <f t="shared" si="14"/>
        <v>30100.755262499999</v>
      </c>
      <c r="W25" s="1000">
        <f t="shared" si="15"/>
        <v>832787.56226250005</v>
      </c>
      <c r="X25" s="1000"/>
      <c r="Y25" s="1000">
        <f t="shared" si="16"/>
        <v>832787.56226250005</v>
      </c>
      <c r="Z25" s="1000"/>
      <c r="AA25" s="1000">
        <f t="shared" si="17"/>
        <v>832787.56226250005</v>
      </c>
      <c r="AB25" s="1000"/>
      <c r="AC25" s="1000">
        <f t="shared" si="18"/>
        <v>832787.56226250005</v>
      </c>
      <c r="AD25" s="1000"/>
      <c r="AE25" s="1000">
        <f t="shared" si="19"/>
        <v>832787.56226250005</v>
      </c>
      <c r="AF25" s="1000"/>
      <c r="AG25" s="1000">
        <f t="shared" si="20"/>
        <v>832787.56226250005</v>
      </c>
      <c r="AH25" s="1000"/>
      <c r="AI25" s="1000">
        <f t="shared" si="21"/>
        <v>832787.56226250005</v>
      </c>
      <c r="AJ25" s="1000"/>
      <c r="AK25" s="1000">
        <f t="shared" si="22"/>
        <v>832787.56226250005</v>
      </c>
      <c r="AL25" s="1000"/>
      <c r="AM25" s="1000">
        <f t="shared" si="23"/>
        <v>832787.56226250005</v>
      </c>
      <c r="AN25" s="1000"/>
      <c r="AO25" s="1000">
        <f t="shared" si="24"/>
        <v>832787.56226250005</v>
      </c>
      <c r="AP25" s="1000"/>
      <c r="AQ25" s="1000">
        <f t="shared" si="25"/>
        <v>832787.56226250005</v>
      </c>
      <c r="AR25" s="1000"/>
      <c r="AS25" s="1000">
        <f t="shared" si="26"/>
        <v>832787.56226250005</v>
      </c>
      <c r="AT25" s="998">
        <f t="shared" si="27"/>
        <v>832787.56226250005</v>
      </c>
      <c r="AU25" s="998">
        <f t="shared" si="28"/>
        <v>99934.507471500008</v>
      </c>
      <c r="AV25" s="998">
        <f t="shared" si="29"/>
        <v>83278.756226250014</v>
      </c>
      <c r="AW25" s="998">
        <f t="shared" si="57"/>
        <v>1016000.82596025</v>
      </c>
      <c r="AX25" s="1001">
        <v>0.15</v>
      </c>
      <c r="AY25" s="998">
        <f t="shared" si="49"/>
        <v>152400.1238940375</v>
      </c>
      <c r="AZ25" s="998">
        <v>10000</v>
      </c>
      <c r="BA25" s="998">
        <f t="shared" si="50"/>
        <v>142400.1238940375</v>
      </c>
      <c r="BB25" s="998">
        <f t="shared" si="30"/>
        <v>1</v>
      </c>
      <c r="BC25" s="997">
        <f t="shared" si="51"/>
        <v>142400.1238940375</v>
      </c>
      <c r="BD25" s="1002">
        <f t="shared" si="31"/>
        <v>0.85</v>
      </c>
      <c r="BE25" s="998">
        <f t="shared" si="52"/>
        <v>863600.70206621243</v>
      </c>
      <c r="BF25" s="1003">
        <f t="shared" si="32"/>
        <v>7762.2872574511575</v>
      </c>
      <c r="BG25" s="1003">
        <f t="shared" si="33"/>
        <v>10027.136416904397</v>
      </c>
      <c r="BH25" s="1003">
        <f t="shared" si="34"/>
        <v>17100.32896119832</v>
      </c>
      <c r="BJ25" s="818"/>
      <c r="BK25" s="818"/>
      <c r="BL25" s="907">
        <f t="shared" si="53"/>
        <v>45658</v>
      </c>
      <c r="BM25" s="908">
        <f t="shared" si="35"/>
        <v>15</v>
      </c>
      <c r="BN25" s="909"/>
      <c r="BO25" s="907">
        <f t="shared" si="36"/>
        <v>45723</v>
      </c>
      <c r="BP25" s="908">
        <f t="shared" si="37"/>
        <v>17</v>
      </c>
      <c r="BQ25" s="818"/>
      <c r="BR25" s="1004"/>
      <c r="BS25" s="887" t="s">
        <v>312</v>
      </c>
      <c r="BT25" s="888" t="s">
        <v>385</v>
      </c>
      <c r="BU25" s="818"/>
      <c r="BV25" s="818"/>
      <c r="BW25" s="818"/>
      <c r="BX25" s="818"/>
      <c r="BY25" s="818"/>
      <c r="BZ25" s="1004"/>
      <c r="CA25" s="1016" t="s">
        <v>263</v>
      </c>
      <c r="CB25" s="1021" t="s">
        <v>263</v>
      </c>
      <c r="CC25" s="1017" t="b">
        <f t="shared" si="38"/>
        <v>1</v>
      </c>
      <c r="CD25" s="695" t="s">
        <v>263</v>
      </c>
      <c r="CE25" s="1018" t="b">
        <f t="shared" si="39"/>
        <v>1</v>
      </c>
      <c r="CG25" s="1027"/>
      <c r="CH25" s="1028"/>
      <c r="ED25" s="947"/>
      <c r="EF25" s="947"/>
      <c r="EG25" s="947"/>
      <c r="EH25" s="947"/>
      <c r="EI25" s="947"/>
      <c r="EJ25" s="947"/>
      <c r="EK25" s="947"/>
      <c r="EL25" s="947"/>
      <c r="EW25" s="1020"/>
      <c r="EX25" s="938">
        <f t="shared" si="2"/>
        <v>1016000.82596025</v>
      </c>
      <c r="EY25" s="942">
        <f t="shared" si="3"/>
        <v>0.15</v>
      </c>
      <c r="EZ25" s="938">
        <f t="shared" si="4"/>
        <v>152400.1238940375</v>
      </c>
      <c r="FA25" s="938">
        <f t="shared" si="5"/>
        <v>10000</v>
      </c>
      <c r="FB25" s="938">
        <f t="shared" si="6"/>
        <v>142400.1238940375</v>
      </c>
      <c r="FC25" s="813">
        <f t="shared" si="40"/>
        <v>25</v>
      </c>
      <c r="FD25" s="814">
        <f t="shared" si="41"/>
        <v>5696.0049557615002</v>
      </c>
      <c r="FE25" s="942">
        <f t="shared" si="42"/>
        <v>0.85</v>
      </c>
      <c r="FF25" s="938">
        <f t="shared" si="43"/>
        <v>863600.70206621243</v>
      </c>
      <c r="FG25" s="940">
        <f t="shared" si="44"/>
        <v>7762.2872574511575</v>
      </c>
      <c r="FH25" s="940">
        <f t="shared" si="45"/>
        <v>10027.136416904397</v>
      </c>
      <c r="FI25" s="940">
        <f t="shared" si="46"/>
        <v>17100.32896119832</v>
      </c>
      <c r="FJ25" s="840"/>
      <c r="FK25" s="938">
        <f t="shared" si="58"/>
        <v>-136704.11893827599</v>
      </c>
      <c r="FN25" s="1030"/>
      <c r="FO25" s="1030"/>
      <c r="FP25" s="1030"/>
      <c r="FU25" s="1030"/>
      <c r="FV25" s="1030"/>
    </row>
    <row r="26" spans="1:178" s="695" customFormat="1" ht="14.5" x14ac:dyDescent="0.35">
      <c r="A26" s="974">
        <f t="shared" si="47"/>
        <v>15</v>
      </c>
      <c r="B26" s="813"/>
      <c r="C26" s="974" t="s">
        <v>373</v>
      </c>
      <c r="D26" s="813">
        <f t="shared" si="48"/>
        <v>15</v>
      </c>
      <c r="E26" s="974" t="s">
        <v>374</v>
      </c>
      <c r="F26" s="996" t="s">
        <v>488</v>
      </c>
      <c r="G26" s="996" t="s">
        <v>375</v>
      </c>
      <c r="H26" s="996">
        <v>13.5</v>
      </c>
      <c r="I26" s="997">
        <v>52000</v>
      </c>
      <c r="J26" s="998">
        <f t="shared" si="7"/>
        <v>702000</v>
      </c>
      <c r="K26" s="998">
        <v>40000</v>
      </c>
      <c r="L26" s="998">
        <v>30000</v>
      </c>
      <c r="M26" s="998"/>
      <c r="N26" s="998">
        <f t="shared" si="8"/>
        <v>772000</v>
      </c>
      <c r="O26" s="998">
        <f t="shared" si="9"/>
        <v>19300</v>
      </c>
      <c r="P26" s="998">
        <f t="shared" si="10"/>
        <v>791300</v>
      </c>
      <c r="Q26" s="999">
        <f t="shared" si="11"/>
        <v>1.2500000000000001E-2</v>
      </c>
      <c r="R26" s="998">
        <f t="shared" si="12"/>
        <v>9891.25</v>
      </c>
      <c r="S26" s="1000">
        <v>1495.557</v>
      </c>
      <c r="T26" s="1000">
        <f t="shared" si="13"/>
        <v>802686.80700000003</v>
      </c>
      <c r="U26" s="1000"/>
      <c r="V26" s="1000">
        <f t="shared" si="14"/>
        <v>30100.755262499999</v>
      </c>
      <c r="W26" s="1000">
        <f t="shared" si="15"/>
        <v>832787.56226250005</v>
      </c>
      <c r="X26" s="1000"/>
      <c r="Y26" s="1000">
        <f t="shared" si="16"/>
        <v>832787.56226250005</v>
      </c>
      <c r="Z26" s="1000"/>
      <c r="AA26" s="1000">
        <f t="shared" si="17"/>
        <v>832787.56226250005</v>
      </c>
      <c r="AB26" s="1000"/>
      <c r="AC26" s="1000">
        <f t="shared" si="18"/>
        <v>832787.56226250005</v>
      </c>
      <c r="AD26" s="1000"/>
      <c r="AE26" s="1000">
        <f t="shared" si="19"/>
        <v>832787.56226250005</v>
      </c>
      <c r="AF26" s="1000"/>
      <c r="AG26" s="1000">
        <f t="shared" si="20"/>
        <v>832787.56226250005</v>
      </c>
      <c r="AH26" s="1000"/>
      <c r="AI26" s="1000">
        <f t="shared" si="21"/>
        <v>832787.56226250005</v>
      </c>
      <c r="AJ26" s="1000"/>
      <c r="AK26" s="1000">
        <f t="shared" si="22"/>
        <v>832787.56226250005</v>
      </c>
      <c r="AL26" s="1000"/>
      <c r="AM26" s="1000">
        <f t="shared" si="23"/>
        <v>832787.56226250005</v>
      </c>
      <c r="AN26" s="1000"/>
      <c r="AO26" s="1000">
        <f t="shared" si="24"/>
        <v>832787.56226250005</v>
      </c>
      <c r="AP26" s="1000"/>
      <c r="AQ26" s="1000">
        <f t="shared" si="25"/>
        <v>832787.56226250005</v>
      </c>
      <c r="AR26" s="1000"/>
      <c r="AS26" s="1000">
        <f t="shared" si="26"/>
        <v>832787.56226250005</v>
      </c>
      <c r="AT26" s="998">
        <f t="shared" si="27"/>
        <v>832787.56226250005</v>
      </c>
      <c r="AU26" s="998">
        <f>AT26*$AU$10</f>
        <v>99934.507471500008</v>
      </c>
      <c r="AV26" s="998">
        <f t="shared" si="29"/>
        <v>83278.756226250014</v>
      </c>
      <c r="AW26" s="998">
        <f t="shared" si="57"/>
        <v>1016000.82596025</v>
      </c>
      <c r="AX26" s="1001">
        <v>0.15</v>
      </c>
      <c r="AY26" s="998">
        <f t="shared" si="49"/>
        <v>152400.1238940375</v>
      </c>
      <c r="AZ26" s="998">
        <v>10000</v>
      </c>
      <c r="BA26" s="998">
        <f t="shared" si="50"/>
        <v>142400.1238940375</v>
      </c>
      <c r="BB26" s="998">
        <f t="shared" si="30"/>
        <v>1</v>
      </c>
      <c r="BC26" s="997">
        <f t="shared" si="51"/>
        <v>142400.1238940375</v>
      </c>
      <c r="BD26" s="1002">
        <f t="shared" si="31"/>
        <v>0.85</v>
      </c>
      <c r="BE26" s="998">
        <f t="shared" si="52"/>
        <v>863600.70206621243</v>
      </c>
      <c r="BF26" s="1003">
        <f t="shared" si="32"/>
        <v>7762.2872574511575</v>
      </c>
      <c r="BG26" s="1003">
        <f t="shared" si="33"/>
        <v>10027.136416904397</v>
      </c>
      <c r="BH26" s="1003">
        <f t="shared" si="34"/>
        <v>17100.32896119832</v>
      </c>
      <c r="BJ26" s="818"/>
      <c r="BK26" s="818"/>
      <c r="BL26" s="907">
        <f t="shared" si="53"/>
        <v>45658</v>
      </c>
      <c r="BM26" s="908">
        <f t="shared" si="35"/>
        <v>15</v>
      </c>
      <c r="BN26" s="909"/>
      <c r="BO26" s="907">
        <f t="shared" si="36"/>
        <v>45723</v>
      </c>
      <c r="BP26" s="908">
        <f t="shared" si="37"/>
        <v>17</v>
      </c>
      <c r="BQ26" s="818"/>
      <c r="BR26" s="1004"/>
      <c r="BS26" s="887" t="s">
        <v>313</v>
      </c>
      <c r="BT26" s="888" t="s">
        <v>386</v>
      </c>
      <c r="BU26" s="818"/>
      <c r="BV26" s="818"/>
      <c r="BW26" s="818"/>
      <c r="BX26" s="818"/>
      <c r="BY26" s="818"/>
      <c r="BZ26" s="1004"/>
      <c r="CA26" s="1016" t="s">
        <v>263</v>
      </c>
      <c r="CB26" s="1021" t="s">
        <v>263</v>
      </c>
      <c r="CC26" s="1017" t="b">
        <f t="shared" si="38"/>
        <v>1</v>
      </c>
      <c r="CD26" s="695" t="s">
        <v>263</v>
      </c>
      <c r="CE26" s="1018" t="b">
        <f t="shared" si="39"/>
        <v>1</v>
      </c>
      <c r="CG26" s="1027"/>
      <c r="CH26" s="1028"/>
      <c r="ED26" s="947"/>
      <c r="EF26" s="947"/>
      <c r="EG26" s="947"/>
      <c r="EH26" s="947"/>
      <c r="EI26" s="947"/>
      <c r="EJ26" s="947"/>
      <c r="EK26" s="947"/>
      <c r="EL26" s="947"/>
      <c r="EW26" s="1020"/>
      <c r="EX26" s="938">
        <f t="shared" si="2"/>
        <v>1016000.82596025</v>
      </c>
      <c r="EY26" s="942">
        <f t="shared" si="3"/>
        <v>0.15</v>
      </c>
      <c r="EZ26" s="938">
        <f t="shared" si="4"/>
        <v>152400.1238940375</v>
      </c>
      <c r="FA26" s="938">
        <f t="shared" si="5"/>
        <v>10000</v>
      </c>
      <c r="FB26" s="938">
        <f t="shared" si="6"/>
        <v>142400.1238940375</v>
      </c>
      <c r="FC26" s="813">
        <f t="shared" si="40"/>
        <v>25</v>
      </c>
      <c r="FD26" s="814">
        <f t="shared" si="41"/>
        <v>5696.0049557615002</v>
      </c>
      <c r="FE26" s="942">
        <f t="shared" si="42"/>
        <v>0.85</v>
      </c>
      <c r="FF26" s="938">
        <f t="shared" si="43"/>
        <v>863600.70206621243</v>
      </c>
      <c r="FG26" s="940">
        <f t="shared" si="44"/>
        <v>7762.2872574511575</v>
      </c>
      <c r="FH26" s="940">
        <f t="shared" si="45"/>
        <v>10027.136416904397</v>
      </c>
      <c r="FI26" s="940">
        <f t="shared" si="46"/>
        <v>17100.32896119832</v>
      </c>
      <c r="FJ26" s="840"/>
      <c r="FK26" s="938">
        <f t="shared" si="58"/>
        <v>-136704.11893827599</v>
      </c>
      <c r="FN26" s="1030"/>
      <c r="FO26" s="1030"/>
      <c r="FP26" s="1030"/>
      <c r="FU26" s="1030"/>
      <c r="FV26" s="1030"/>
    </row>
    <row r="27" spans="1:178" s="695" customFormat="1" ht="14.5" hidden="1" x14ac:dyDescent="0.3">
      <c r="A27" s="1061">
        <f t="shared" si="47"/>
        <v>16</v>
      </c>
      <c r="B27" s="813"/>
      <c r="C27" s="1061" t="s">
        <v>373</v>
      </c>
      <c r="D27" s="813">
        <f t="shared" si="48"/>
        <v>16</v>
      </c>
      <c r="E27" s="1061" t="s">
        <v>374</v>
      </c>
      <c r="F27" s="1062" t="s">
        <v>489</v>
      </c>
      <c r="G27" s="1062" t="s">
        <v>375</v>
      </c>
      <c r="H27" s="1062">
        <v>13.5</v>
      </c>
      <c r="I27" s="1063">
        <v>52000</v>
      </c>
      <c r="J27" s="1064">
        <f t="shared" si="7"/>
        <v>702000</v>
      </c>
      <c r="K27" s="1064">
        <v>40000</v>
      </c>
      <c r="L27" s="1064">
        <v>30000</v>
      </c>
      <c r="M27" s="1064"/>
      <c r="N27" s="1064">
        <f t="shared" si="8"/>
        <v>772000</v>
      </c>
      <c r="O27" s="1064">
        <f t="shared" si="9"/>
        <v>19300</v>
      </c>
      <c r="P27" s="1064">
        <f t="shared" si="10"/>
        <v>791300</v>
      </c>
      <c r="Q27" s="1065">
        <f t="shared" si="11"/>
        <v>1.2500000000000001E-2</v>
      </c>
      <c r="R27" s="1064">
        <f t="shared" si="12"/>
        <v>9891.25</v>
      </c>
      <c r="S27" s="1066" t="s">
        <v>450</v>
      </c>
      <c r="T27" s="1066">
        <f t="shared" si="13"/>
        <v>801191.25</v>
      </c>
      <c r="U27" s="1066"/>
      <c r="V27" s="1066">
        <f t="shared" si="14"/>
        <v>30044.671875</v>
      </c>
      <c r="W27" s="1066">
        <f t="shared" si="15"/>
        <v>831235.921875</v>
      </c>
      <c r="X27" s="1066"/>
      <c r="Y27" s="1066">
        <f t="shared" si="16"/>
        <v>831235.921875</v>
      </c>
      <c r="Z27" s="1066"/>
      <c r="AA27" s="1066">
        <f t="shared" si="17"/>
        <v>831235.921875</v>
      </c>
      <c r="AB27" s="1066"/>
      <c r="AC27" s="1066">
        <f t="shared" si="18"/>
        <v>831235.921875</v>
      </c>
      <c r="AD27" s="1066"/>
      <c r="AE27" s="1066">
        <f t="shared" si="19"/>
        <v>831235.921875</v>
      </c>
      <c r="AF27" s="1066"/>
      <c r="AG27" s="1066">
        <f t="shared" si="20"/>
        <v>831235.921875</v>
      </c>
      <c r="AH27" s="1066"/>
      <c r="AI27" s="1066">
        <f t="shared" si="21"/>
        <v>831235.921875</v>
      </c>
      <c r="AJ27" s="1066"/>
      <c r="AK27" s="1066">
        <f t="shared" si="22"/>
        <v>831235.921875</v>
      </c>
      <c r="AL27" s="1066"/>
      <c r="AM27" s="1066">
        <f t="shared" si="23"/>
        <v>831235.921875</v>
      </c>
      <c r="AN27" s="1066"/>
      <c r="AO27" s="1066">
        <f t="shared" si="24"/>
        <v>831235.921875</v>
      </c>
      <c r="AP27" s="1066"/>
      <c r="AQ27" s="1000">
        <f t="shared" si="25"/>
        <v>831235.921875</v>
      </c>
      <c r="AR27" s="1066"/>
      <c r="AS27" s="1000">
        <f t="shared" si="26"/>
        <v>831235.921875</v>
      </c>
      <c r="AT27" s="1064">
        <f t="shared" si="27"/>
        <v>831235.921875</v>
      </c>
      <c r="AU27" s="1064">
        <f t="shared" si="28"/>
        <v>99748.310624999998</v>
      </c>
      <c r="AV27" s="1064">
        <f t="shared" si="29"/>
        <v>83123.592187500006</v>
      </c>
      <c r="AW27" s="1064">
        <f t="shared" si="57"/>
        <v>1014107.8246875</v>
      </c>
      <c r="AX27" s="1067">
        <v>0.15</v>
      </c>
      <c r="AY27" s="1064">
        <f t="shared" si="49"/>
        <v>152116.17370312501</v>
      </c>
      <c r="AZ27" s="1064">
        <v>10000</v>
      </c>
      <c r="BA27" s="1064">
        <f t="shared" si="50"/>
        <v>142116.17370312501</v>
      </c>
      <c r="BB27" s="1064">
        <f t="shared" si="30"/>
        <v>1</v>
      </c>
      <c r="BC27" s="1063">
        <f t="shared" si="51"/>
        <v>142116.17370312501</v>
      </c>
      <c r="BD27" s="1068">
        <f t="shared" si="31"/>
        <v>0.85</v>
      </c>
      <c r="BE27" s="1064">
        <f t="shared" si="52"/>
        <v>861991.65098437504</v>
      </c>
      <c r="BF27" s="1069">
        <f t="shared" si="32"/>
        <v>7747.8246514351467</v>
      </c>
      <c r="BG27" s="1069">
        <f t="shared" si="33"/>
        <v>10008.453969494676</v>
      </c>
      <c r="BH27" s="1069">
        <f t="shared" si="34"/>
        <v>17068.467821265294</v>
      </c>
      <c r="BJ27" s="818"/>
      <c r="BK27" s="818"/>
      <c r="BL27" s="907">
        <f t="shared" si="53"/>
        <v>45658</v>
      </c>
      <c r="BM27" s="908">
        <f t="shared" si="35"/>
        <v>15</v>
      </c>
      <c r="BN27" s="909"/>
      <c r="BO27" s="907">
        <f t="shared" si="36"/>
        <v>45723</v>
      </c>
      <c r="BP27" s="908">
        <f t="shared" si="37"/>
        <v>17</v>
      </c>
      <c r="BQ27" s="818"/>
      <c r="BR27" s="1004"/>
      <c r="BS27" s="818"/>
      <c r="BT27" s="818"/>
      <c r="BU27" s="818"/>
      <c r="BV27" s="818"/>
      <c r="BW27" s="818"/>
      <c r="BX27" s="818"/>
      <c r="BY27" s="818"/>
      <c r="BZ27" s="1004"/>
      <c r="CA27" s="1016" t="s">
        <v>262</v>
      </c>
      <c r="CB27" s="1021" t="s">
        <v>262</v>
      </c>
      <c r="CC27" s="1017" t="b">
        <f t="shared" si="38"/>
        <v>1</v>
      </c>
      <c r="CD27" s="695" t="s">
        <v>262</v>
      </c>
      <c r="CE27" s="1018" t="b">
        <f t="shared" si="39"/>
        <v>1</v>
      </c>
      <c r="CG27" s="1027"/>
      <c r="CH27" s="1028"/>
      <c r="ED27" s="947"/>
      <c r="EF27" s="947"/>
      <c r="EG27" s="947"/>
      <c r="EH27" s="947"/>
      <c r="EI27" s="947"/>
      <c r="EJ27" s="947"/>
      <c r="EK27" s="947"/>
      <c r="EL27" s="947"/>
      <c r="EW27" s="1020"/>
      <c r="EX27" s="938">
        <f t="shared" si="2"/>
        <v>1014107.8246875</v>
      </c>
      <c r="EY27" s="942">
        <f t="shared" si="3"/>
        <v>0.15</v>
      </c>
      <c r="EZ27" s="938">
        <f t="shared" si="4"/>
        <v>152116.17370312501</v>
      </c>
      <c r="FA27" s="938">
        <f t="shared" si="5"/>
        <v>10000</v>
      </c>
      <c r="FB27" s="938">
        <f t="shared" si="6"/>
        <v>142116.17370312501</v>
      </c>
      <c r="FC27" s="813">
        <f t="shared" si="40"/>
        <v>25</v>
      </c>
      <c r="FD27" s="814">
        <f t="shared" si="41"/>
        <v>5684.6469481250006</v>
      </c>
      <c r="FE27" s="942">
        <f t="shared" si="42"/>
        <v>0.85</v>
      </c>
      <c r="FF27" s="938">
        <f t="shared" si="43"/>
        <v>861991.65098437504</v>
      </c>
      <c r="FG27" s="940">
        <f t="shared" si="44"/>
        <v>7747.8246514351467</v>
      </c>
      <c r="FH27" s="940">
        <f t="shared" si="45"/>
        <v>10008.453969494676</v>
      </c>
      <c r="FI27" s="940">
        <f t="shared" si="46"/>
        <v>17068.467821265294</v>
      </c>
      <c r="FJ27" s="840"/>
      <c r="FK27" s="938">
        <f t="shared" si="58"/>
        <v>-136431.526755</v>
      </c>
      <c r="FN27" s="1030"/>
      <c r="FO27" s="1030"/>
      <c r="FP27" s="1030"/>
      <c r="FU27" s="1030"/>
      <c r="FV27" s="1030"/>
    </row>
    <row r="28" spans="1:178" s="695" customFormat="1" ht="14.5" x14ac:dyDescent="0.3">
      <c r="A28" s="974">
        <f t="shared" si="47"/>
        <v>17</v>
      </c>
      <c r="B28" s="813"/>
      <c r="C28" s="974" t="s">
        <v>373</v>
      </c>
      <c r="D28" s="813">
        <f t="shared" si="48"/>
        <v>17</v>
      </c>
      <c r="E28" s="974" t="s">
        <v>374</v>
      </c>
      <c r="F28" s="996" t="s">
        <v>490</v>
      </c>
      <c r="G28" s="996" t="s">
        <v>375</v>
      </c>
      <c r="H28" s="996">
        <v>13.5</v>
      </c>
      <c r="I28" s="997">
        <v>52000</v>
      </c>
      <c r="J28" s="998">
        <f t="shared" si="7"/>
        <v>702000</v>
      </c>
      <c r="K28" s="998">
        <v>40000</v>
      </c>
      <c r="L28" s="998">
        <v>30000</v>
      </c>
      <c r="M28" s="998"/>
      <c r="N28" s="998">
        <f t="shared" si="8"/>
        <v>772000</v>
      </c>
      <c r="O28" s="998">
        <f t="shared" si="9"/>
        <v>19300</v>
      </c>
      <c r="P28" s="998">
        <f t="shared" si="10"/>
        <v>791300</v>
      </c>
      <c r="Q28" s="999">
        <f t="shared" si="11"/>
        <v>1.2500000000000001E-2</v>
      </c>
      <c r="R28" s="998">
        <f t="shared" si="12"/>
        <v>9891.25</v>
      </c>
      <c r="S28" s="1000">
        <v>1495.557</v>
      </c>
      <c r="T28" s="1000">
        <f t="shared" si="13"/>
        <v>802686.80700000003</v>
      </c>
      <c r="U28" s="1000"/>
      <c r="V28" s="1000">
        <f t="shared" si="14"/>
        <v>30100.755262499999</v>
      </c>
      <c r="W28" s="1000">
        <f t="shared" si="15"/>
        <v>832787.56226250005</v>
      </c>
      <c r="X28" s="1000"/>
      <c r="Y28" s="1000">
        <f t="shared" si="16"/>
        <v>832787.56226250005</v>
      </c>
      <c r="Z28" s="1000"/>
      <c r="AA28" s="1000">
        <f t="shared" si="17"/>
        <v>832787.56226250005</v>
      </c>
      <c r="AB28" s="1000"/>
      <c r="AC28" s="1000">
        <f t="shared" si="18"/>
        <v>832787.56226250005</v>
      </c>
      <c r="AD28" s="1000"/>
      <c r="AE28" s="1000">
        <f t="shared" si="19"/>
        <v>832787.56226250005</v>
      </c>
      <c r="AF28" s="1000"/>
      <c r="AG28" s="1000">
        <f t="shared" si="20"/>
        <v>832787.56226250005</v>
      </c>
      <c r="AH28" s="1000"/>
      <c r="AI28" s="1000">
        <f t="shared" si="21"/>
        <v>832787.56226250005</v>
      </c>
      <c r="AJ28" s="1000"/>
      <c r="AK28" s="1000">
        <f t="shared" si="22"/>
        <v>832787.56226250005</v>
      </c>
      <c r="AL28" s="1000"/>
      <c r="AM28" s="1000">
        <f t="shared" si="23"/>
        <v>832787.56226250005</v>
      </c>
      <c r="AN28" s="1000"/>
      <c r="AO28" s="1000">
        <f t="shared" si="24"/>
        <v>832787.56226250005</v>
      </c>
      <c r="AP28" s="1000"/>
      <c r="AQ28" s="1000">
        <f t="shared" si="25"/>
        <v>832787.56226250005</v>
      </c>
      <c r="AR28" s="1000"/>
      <c r="AS28" s="1000">
        <f t="shared" si="26"/>
        <v>832787.56226250005</v>
      </c>
      <c r="AT28" s="998">
        <f t="shared" si="27"/>
        <v>832787.56226250005</v>
      </c>
      <c r="AU28" s="998">
        <f t="shared" si="28"/>
        <v>99934.507471500008</v>
      </c>
      <c r="AV28" s="998">
        <f t="shared" si="29"/>
        <v>83278.756226250014</v>
      </c>
      <c r="AW28" s="998">
        <f t="shared" si="57"/>
        <v>1016000.82596025</v>
      </c>
      <c r="AX28" s="1001">
        <v>0.15</v>
      </c>
      <c r="AY28" s="998">
        <f t="shared" si="49"/>
        <v>152400.1238940375</v>
      </c>
      <c r="AZ28" s="998">
        <v>10000</v>
      </c>
      <c r="BA28" s="998">
        <f t="shared" si="50"/>
        <v>142400.1238940375</v>
      </c>
      <c r="BB28" s="998">
        <f t="shared" si="30"/>
        <v>1</v>
      </c>
      <c r="BC28" s="997">
        <f t="shared" si="51"/>
        <v>142400.1238940375</v>
      </c>
      <c r="BD28" s="1002">
        <f t="shared" si="31"/>
        <v>0.85</v>
      </c>
      <c r="BE28" s="998">
        <f t="shared" si="52"/>
        <v>863600.70206621243</v>
      </c>
      <c r="BF28" s="1003">
        <f t="shared" si="32"/>
        <v>7762.2872574511575</v>
      </c>
      <c r="BG28" s="1003">
        <f t="shared" si="33"/>
        <v>10027.136416904397</v>
      </c>
      <c r="BH28" s="1003">
        <f t="shared" si="34"/>
        <v>17100.32896119832</v>
      </c>
      <c r="BJ28" s="818"/>
      <c r="BK28" s="818"/>
      <c r="BL28" s="907">
        <f t="shared" si="53"/>
        <v>45658</v>
      </c>
      <c r="BM28" s="908">
        <f t="shared" si="35"/>
        <v>15</v>
      </c>
      <c r="BN28" s="909"/>
      <c r="BO28" s="907">
        <f t="shared" si="36"/>
        <v>45723</v>
      </c>
      <c r="BP28" s="908">
        <f t="shared" si="37"/>
        <v>17</v>
      </c>
      <c r="BQ28" s="818"/>
      <c r="BR28" s="1004"/>
      <c r="BS28" s="818"/>
      <c r="BT28" s="818"/>
      <c r="BU28" s="818"/>
      <c r="BV28" s="818"/>
      <c r="BW28" s="818"/>
      <c r="BX28" s="818"/>
      <c r="BY28" s="818"/>
      <c r="BZ28" s="1004"/>
      <c r="CA28" s="1016" t="s">
        <v>263</v>
      </c>
      <c r="CB28" s="1021" t="s">
        <v>263</v>
      </c>
      <c r="CC28" s="1017" t="b">
        <f t="shared" si="38"/>
        <v>1</v>
      </c>
      <c r="CD28" s="695" t="s">
        <v>263</v>
      </c>
      <c r="CE28" s="1018" t="b">
        <f t="shared" si="39"/>
        <v>1</v>
      </c>
      <c r="CG28" s="1027"/>
      <c r="CH28" s="1028"/>
      <c r="ED28" s="947"/>
      <c r="EF28" s="947"/>
      <c r="EG28" s="947"/>
      <c r="EH28" s="947"/>
      <c r="EI28" s="947"/>
      <c r="EJ28" s="947"/>
      <c r="EK28" s="947"/>
      <c r="EL28" s="947"/>
      <c r="EW28" s="1020"/>
      <c r="EX28" s="938">
        <f t="shared" si="2"/>
        <v>1016000.82596025</v>
      </c>
      <c r="EY28" s="942">
        <f t="shared" si="3"/>
        <v>0.15</v>
      </c>
      <c r="EZ28" s="938">
        <f t="shared" si="4"/>
        <v>152400.1238940375</v>
      </c>
      <c r="FA28" s="938">
        <f t="shared" si="5"/>
        <v>10000</v>
      </c>
      <c r="FB28" s="938">
        <f t="shared" si="6"/>
        <v>142400.1238940375</v>
      </c>
      <c r="FC28" s="813">
        <f t="shared" si="40"/>
        <v>25</v>
      </c>
      <c r="FD28" s="814">
        <f t="shared" si="41"/>
        <v>5696.0049557615002</v>
      </c>
      <c r="FE28" s="942">
        <f t="shared" si="42"/>
        <v>0.85</v>
      </c>
      <c r="FF28" s="938">
        <f t="shared" si="43"/>
        <v>863600.70206621243</v>
      </c>
      <c r="FG28" s="940">
        <f t="shared" si="44"/>
        <v>7762.2872574511575</v>
      </c>
      <c r="FH28" s="940">
        <f t="shared" si="45"/>
        <v>10027.136416904397</v>
      </c>
      <c r="FI28" s="940">
        <f t="shared" si="46"/>
        <v>17100.32896119832</v>
      </c>
      <c r="FJ28" s="840"/>
      <c r="FK28" s="938">
        <f t="shared" si="58"/>
        <v>-136704.11893827599</v>
      </c>
      <c r="FN28" s="1030"/>
      <c r="FO28" s="1030"/>
      <c r="FP28" s="1030"/>
      <c r="FU28" s="1030"/>
      <c r="FV28" s="1030"/>
    </row>
    <row r="29" spans="1:178" s="695" customFormat="1" ht="14.5" x14ac:dyDescent="0.3">
      <c r="A29" s="974">
        <f t="shared" si="47"/>
        <v>18</v>
      </c>
      <c r="B29" s="813"/>
      <c r="C29" s="974" t="s">
        <v>373</v>
      </c>
      <c r="D29" s="813">
        <f t="shared" si="48"/>
        <v>18</v>
      </c>
      <c r="E29" s="974" t="s">
        <v>374</v>
      </c>
      <c r="F29" s="996" t="s">
        <v>491</v>
      </c>
      <c r="G29" s="996" t="s">
        <v>375</v>
      </c>
      <c r="H29" s="996">
        <v>13.5</v>
      </c>
      <c r="I29" s="997">
        <v>52000</v>
      </c>
      <c r="J29" s="998">
        <f t="shared" si="7"/>
        <v>702000</v>
      </c>
      <c r="K29" s="998">
        <v>40000</v>
      </c>
      <c r="L29" s="998">
        <v>30000</v>
      </c>
      <c r="M29" s="998"/>
      <c r="N29" s="998">
        <f t="shared" si="8"/>
        <v>772000</v>
      </c>
      <c r="O29" s="998">
        <f t="shared" si="9"/>
        <v>19300</v>
      </c>
      <c r="P29" s="998">
        <f t="shared" si="10"/>
        <v>791300</v>
      </c>
      <c r="Q29" s="999">
        <f t="shared" si="11"/>
        <v>1.2500000000000001E-2</v>
      </c>
      <c r="R29" s="998">
        <f t="shared" si="12"/>
        <v>9891.25</v>
      </c>
      <c r="S29" s="1000">
        <v>1495.557</v>
      </c>
      <c r="T29" s="1000">
        <f t="shared" si="13"/>
        <v>802686.80700000003</v>
      </c>
      <c r="U29" s="1000"/>
      <c r="V29" s="1000">
        <f t="shared" si="14"/>
        <v>30100.755262499999</v>
      </c>
      <c r="W29" s="1000">
        <f t="shared" si="15"/>
        <v>832787.56226250005</v>
      </c>
      <c r="X29" s="1000"/>
      <c r="Y29" s="1000">
        <f t="shared" si="16"/>
        <v>832787.56226250005</v>
      </c>
      <c r="Z29" s="1000"/>
      <c r="AA29" s="1000">
        <f t="shared" si="17"/>
        <v>832787.56226250005</v>
      </c>
      <c r="AB29" s="1000"/>
      <c r="AC29" s="1000">
        <f t="shared" si="18"/>
        <v>832787.56226250005</v>
      </c>
      <c r="AD29" s="1000"/>
      <c r="AE29" s="1000">
        <f t="shared" si="19"/>
        <v>832787.56226250005</v>
      </c>
      <c r="AF29" s="1000"/>
      <c r="AG29" s="1000">
        <f t="shared" si="20"/>
        <v>832787.56226250005</v>
      </c>
      <c r="AH29" s="1000"/>
      <c r="AI29" s="1000">
        <f t="shared" si="21"/>
        <v>832787.56226250005</v>
      </c>
      <c r="AJ29" s="1000"/>
      <c r="AK29" s="1000">
        <f t="shared" si="22"/>
        <v>832787.56226250005</v>
      </c>
      <c r="AL29" s="1000"/>
      <c r="AM29" s="1000">
        <f t="shared" si="23"/>
        <v>832787.56226250005</v>
      </c>
      <c r="AN29" s="1000"/>
      <c r="AO29" s="1000">
        <f t="shared" si="24"/>
        <v>832787.56226250005</v>
      </c>
      <c r="AP29" s="1000"/>
      <c r="AQ29" s="1000">
        <f t="shared" si="25"/>
        <v>832787.56226250005</v>
      </c>
      <c r="AR29" s="1000"/>
      <c r="AS29" s="1000">
        <f t="shared" si="26"/>
        <v>832787.56226250005</v>
      </c>
      <c r="AT29" s="998">
        <f t="shared" si="27"/>
        <v>832787.56226250005</v>
      </c>
      <c r="AU29" s="998">
        <f t="shared" si="28"/>
        <v>99934.507471500008</v>
      </c>
      <c r="AV29" s="998">
        <f t="shared" si="29"/>
        <v>83278.756226250014</v>
      </c>
      <c r="AW29" s="998">
        <f t="shared" si="57"/>
        <v>1016000.82596025</v>
      </c>
      <c r="AX29" s="1001">
        <v>0.15</v>
      </c>
      <c r="AY29" s="998">
        <f t="shared" si="49"/>
        <v>152400.1238940375</v>
      </c>
      <c r="AZ29" s="998">
        <v>10000</v>
      </c>
      <c r="BA29" s="998">
        <f t="shared" si="50"/>
        <v>142400.1238940375</v>
      </c>
      <c r="BB29" s="998">
        <f t="shared" si="30"/>
        <v>1</v>
      </c>
      <c r="BC29" s="997">
        <f t="shared" si="51"/>
        <v>142400.1238940375</v>
      </c>
      <c r="BD29" s="1002">
        <f t="shared" si="31"/>
        <v>0.85</v>
      </c>
      <c r="BE29" s="998">
        <f t="shared" si="52"/>
        <v>863600.70206621243</v>
      </c>
      <c r="BF29" s="1003">
        <f t="shared" si="32"/>
        <v>7762.2872574511575</v>
      </c>
      <c r="BG29" s="1003">
        <f t="shared" si="33"/>
        <v>10027.136416904397</v>
      </c>
      <c r="BH29" s="1003">
        <f t="shared" si="34"/>
        <v>17100.32896119832</v>
      </c>
      <c r="BJ29" s="818"/>
      <c r="BK29" s="818"/>
      <c r="BL29" s="907">
        <f t="shared" si="53"/>
        <v>45658</v>
      </c>
      <c r="BM29" s="908">
        <f t="shared" si="35"/>
        <v>15</v>
      </c>
      <c r="BN29" s="909"/>
      <c r="BO29" s="907">
        <f t="shared" si="36"/>
        <v>45723</v>
      </c>
      <c r="BP29" s="908">
        <f t="shared" si="37"/>
        <v>17</v>
      </c>
      <c r="BQ29" s="818"/>
      <c r="BR29" s="1004"/>
      <c r="BS29" s="818"/>
      <c r="BT29" s="818"/>
      <c r="BU29" s="818"/>
      <c r="BV29" s="818"/>
      <c r="BW29" s="818"/>
      <c r="BX29" s="818"/>
      <c r="BY29" s="818"/>
      <c r="BZ29" s="1004"/>
      <c r="CA29" s="1016" t="s">
        <v>263</v>
      </c>
      <c r="CB29" s="1021" t="s">
        <v>263</v>
      </c>
      <c r="CC29" s="1017" t="b">
        <f t="shared" si="38"/>
        <v>1</v>
      </c>
      <c r="CD29" s="695" t="s">
        <v>263</v>
      </c>
      <c r="CE29" s="1018" t="b">
        <f t="shared" si="39"/>
        <v>1</v>
      </c>
      <c r="CG29" s="1027"/>
      <c r="CH29" s="1028"/>
      <c r="ED29" s="947"/>
      <c r="EF29" s="947"/>
      <c r="EG29" s="947"/>
      <c r="EH29" s="947"/>
      <c r="EI29" s="947"/>
      <c r="EJ29" s="947"/>
      <c r="EK29" s="947"/>
      <c r="EL29" s="947"/>
      <c r="EW29" s="1020"/>
      <c r="EX29" s="938">
        <f t="shared" si="2"/>
        <v>1016000.82596025</v>
      </c>
      <c r="EY29" s="942">
        <f t="shared" si="3"/>
        <v>0.15</v>
      </c>
      <c r="EZ29" s="938">
        <f t="shared" si="4"/>
        <v>152400.1238940375</v>
      </c>
      <c r="FA29" s="938">
        <f t="shared" si="5"/>
        <v>10000</v>
      </c>
      <c r="FB29" s="938">
        <f t="shared" si="6"/>
        <v>142400.1238940375</v>
      </c>
      <c r="FC29" s="813">
        <f t="shared" si="40"/>
        <v>25</v>
      </c>
      <c r="FD29" s="814">
        <f t="shared" si="41"/>
        <v>5696.0049557615002</v>
      </c>
      <c r="FE29" s="942">
        <f t="shared" si="42"/>
        <v>0.85</v>
      </c>
      <c r="FF29" s="938">
        <f t="shared" si="43"/>
        <v>863600.70206621243</v>
      </c>
      <c r="FG29" s="940">
        <f t="shared" si="44"/>
        <v>7762.2872574511575</v>
      </c>
      <c r="FH29" s="940">
        <f t="shared" si="45"/>
        <v>10027.136416904397</v>
      </c>
      <c r="FI29" s="940">
        <f t="shared" si="46"/>
        <v>17100.32896119832</v>
      </c>
      <c r="FJ29" s="840"/>
      <c r="FK29" s="938">
        <f t="shared" si="58"/>
        <v>-136704.11893827599</v>
      </c>
      <c r="FN29" s="1030"/>
      <c r="FO29" s="1030"/>
      <c r="FP29" s="1030"/>
      <c r="FU29" s="1030"/>
      <c r="FV29" s="1030"/>
    </row>
    <row r="30" spans="1:178" s="695" customFormat="1" ht="14.5" hidden="1" x14ac:dyDescent="0.3">
      <c r="A30" s="1070">
        <f t="shared" si="47"/>
        <v>19</v>
      </c>
      <c r="B30" s="813"/>
      <c r="C30" s="1070" t="s">
        <v>373</v>
      </c>
      <c r="D30" s="813">
        <f t="shared" si="48"/>
        <v>19</v>
      </c>
      <c r="E30" s="1070" t="s">
        <v>374</v>
      </c>
      <c r="F30" s="1071" t="s">
        <v>492</v>
      </c>
      <c r="G30" s="1071" t="s">
        <v>375</v>
      </c>
      <c r="H30" s="1071">
        <v>13.5</v>
      </c>
      <c r="I30" s="1072">
        <v>52000</v>
      </c>
      <c r="J30" s="1073">
        <f t="shared" si="7"/>
        <v>702000</v>
      </c>
      <c r="K30" s="1073">
        <v>40000</v>
      </c>
      <c r="L30" s="1073">
        <v>30000</v>
      </c>
      <c r="M30" s="1073"/>
      <c r="N30" s="1073">
        <f t="shared" si="8"/>
        <v>772000</v>
      </c>
      <c r="O30" s="1073">
        <f t="shared" si="9"/>
        <v>19300</v>
      </c>
      <c r="P30" s="1073">
        <f t="shared" si="10"/>
        <v>791300</v>
      </c>
      <c r="Q30" s="1074">
        <f t="shared" si="11"/>
        <v>1.2500000000000001E-2</v>
      </c>
      <c r="R30" s="1073">
        <f t="shared" si="12"/>
        <v>9891.25</v>
      </c>
      <c r="S30" s="1075" t="s">
        <v>450</v>
      </c>
      <c r="T30" s="1075">
        <f t="shared" si="13"/>
        <v>801191.25</v>
      </c>
      <c r="U30" s="1075"/>
      <c r="V30" s="1075">
        <f t="shared" si="14"/>
        <v>30044.671875</v>
      </c>
      <c r="W30" s="1075">
        <f t="shared" si="15"/>
        <v>831235.921875</v>
      </c>
      <c r="X30" s="1075"/>
      <c r="Y30" s="1075">
        <f t="shared" si="16"/>
        <v>831235.921875</v>
      </c>
      <c r="Z30" s="1075"/>
      <c r="AA30" s="1075">
        <f t="shared" si="17"/>
        <v>831235.921875</v>
      </c>
      <c r="AB30" s="1075"/>
      <c r="AC30" s="1075">
        <f t="shared" si="18"/>
        <v>831235.921875</v>
      </c>
      <c r="AD30" s="1075"/>
      <c r="AE30" s="1075">
        <f t="shared" si="19"/>
        <v>831235.921875</v>
      </c>
      <c r="AF30" s="1075"/>
      <c r="AG30" s="1075">
        <f t="shared" si="20"/>
        <v>831235.921875</v>
      </c>
      <c r="AH30" s="1075"/>
      <c r="AI30" s="1075">
        <f t="shared" si="21"/>
        <v>831235.921875</v>
      </c>
      <c r="AJ30" s="1075"/>
      <c r="AK30" s="1075">
        <f t="shared" si="22"/>
        <v>831235.921875</v>
      </c>
      <c r="AL30" s="1075"/>
      <c r="AM30" s="1075">
        <f t="shared" si="23"/>
        <v>831235.921875</v>
      </c>
      <c r="AN30" s="1075"/>
      <c r="AO30" s="1075">
        <f t="shared" si="24"/>
        <v>831235.921875</v>
      </c>
      <c r="AP30" s="1075"/>
      <c r="AQ30" s="1000">
        <f t="shared" si="25"/>
        <v>831235.921875</v>
      </c>
      <c r="AR30" s="1075"/>
      <c r="AS30" s="1000">
        <f t="shared" si="26"/>
        <v>831235.921875</v>
      </c>
      <c r="AT30" s="1073">
        <f t="shared" si="27"/>
        <v>831235.921875</v>
      </c>
      <c r="AU30" s="1073">
        <f t="shared" si="28"/>
        <v>99748.310624999998</v>
      </c>
      <c r="AV30" s="1073">
        <f t="shared" si="29"/>
        <v>83123.592187500006</v>
      </c>
      <c r="AW30" s="1073">
        <f t="shared" si="57"/>
        <v>1014107.8246875</v>
      </c>
      <c r="AX30" s="1076">
        <v>0.15</v>
      </c>
      <c r="AY30" s="1073">
        <f t="shared" si="49"/>
        <v>152116.17370312501</v>
      </c>
      <c r="AZ30" s="1073">
        <v>10000</v>
      </c>
      <c r="BA30" s="1073">
        <f t="shared" si="50"/>
        <v>142116.17370312501</v>
      </c>
      <c r="BB30" s="1073">
        <f t="shared" si="30"/>
        <v>1</v>
      </c>
      <c r="BC30" s="1072">
        <f t="shared" si="51"/>
        <v>142116.17370312501</v>
      </c>
      <c r="BD30" s="1077">
        <f t="shared" si="31"/>
        <v>0.85</v>
      </c>
      <c r="BE30" s="1073">
        <f t="shared" si="52"/>
        <v>861991.65098437504</v>
      </c>
      <c r="BF30" s="1078">
        <f t="shared" si="32"/>
        <v>7747.8246514351467</v>
      </c>
      <c r="BG30" s="1078">
        <f t="shared" si="33"/>
        <v>10008.453969494676</v>
      </c>
      <c r="BH30" s="1078">
        <f t="shared" si="34"/>
        <v>17068.467821265294</v>
      </c>
      <c r="BJ30" s="818"/>
      <c r="BK30" s="818"/>
      <c r="BL30" s="907">
        <f t="shared" si="53"/>
        <v>45658</v>
      </c>
      <c r="BM30" s="908">
        <f t="shared" si="35"/>
        <v>15</v>
      </c>
      <c r="BN30" s="909"/>
      <c r="BO30" s="907">
        <f t="shared" si="36"/>
        <v>45723</v>
      </c>
      <c r="BP30" s="908">
        <f t="shared" si="37"/>
        <v>17</v>
      </c>
      <c r="BQ30" s="818"/>
      <c r="BR30" s="1004"/>
      <c r="BS30" s="818"/>
      <c r="BT30" s="818"/>
      <c r="BU30" s="818"/>
      <c r="BV30" s="818"/>
      <c r="BW30" s="818"/>
      <c r="BX30" s="818"/>
      <c r="BY30" s="818"/>
      <c r="BZ30" s="1004"/>
      <c r="CA30" s="1016" t="s">
        <v>262</v>
      </c>
      <c r="CB30" s="1021" t="s">
        <v>262</v>
      </c>
      <c r="CC30" s="1017" t="b">
        <f t="shared" si="38"/>
        <v>1</v>
      </c>
      <c r="CD30" s="695" t="s">
        <v>262</v>
      </c>
      <c r="CE30" s="1018" t="b">
        <f t="shared" si="39"/>
        <v>1</v>
      </c>
      <c r="CG30" s="1027"/>
      <c r="CH30" s="1028"/>
      <c r="ED30" s="947"/>
      <c r="EF30" s="947"/>
      <c r="EG30" s="947"/>
      <c r="EH30" s="947"/>
      <c r="EI30" s="947"/>
      <c r="EJ30" s="947"/>
      <c r="EK30" s="947"/>
      <c r="EL30" s="947"/>
      <c r="EW30" s="1020"/>
      <c r="EX30" s="938">
        <f t="shared" si="2"/>
        <v>1014107.8246875</v>
      </c>
      <c r="EY30" s="942">
        <f t="shared" si="3"/>
        <v>0.15</v>
      </c>
      <c r="EZ30" s="938">
        <f t="shared" si="4"/>
        <v>152116.17370312501</v>
      </c>
      <c r="FA30" s="938">
        <f t="shared" si="5"/>
        <v>10000</v>
      </c>
      <c r="FB30" s="938">
        <f t="shared" si="6"/>
        <v>142116.17370312501</v>
      </c>
      <c r="FC30" s="813">
        <f t="shared" si="40"/>
        <v>25</v>
      </c>
      <c r="FD30" s="814">
        <f t="shared" si="41"/>
        <v>5684.6469481250006</v>
      </c>
      <c r="FE30" s="942">
        <f t="shared" si="42"/>
        <v>0.85</v>
      </c>
      <c r="FF30" s="938">
        <f t="shared" si="43"/>
        <v>861991.65098437504</v>
      </c>
      <c r="FG30" s="940">
        <f t="shared" si="44"/>
        <v>7747.8246514351467</v>
      </c>
      <c r="FH30" s="940">
        <f t="shared" si="45"/>
        <v>10008.453969494676</v>
      </c>
      <c r="FI30" s="940">
        <f t="shared" si="46"/>
        <v>17068.467821265294</v>
      </c>
      <c r="FJ30" s="840"/>
      <c r="FK30" s="938">
        <f t="shared" si="58"/>
        <v>-136431.526755</v>
      </c>
      <c r="FN30" s="1030"/>
      <c r="FO30" s="1030"/>
      <c r="FP30" s="1030"/>
      <c r="FU30" s="1030"/>
      <c r="FV30" s="1030"/>
    </row>
    <row r="31" spans="1:178" s="695" customFormat="1" ht="14.5" hidden="1" x14ac:dyDescent="0.3">
      <c r="A31" s="974">
        <f t="shared" si="47"/>
        <v>20</v>
      </c>
      <c r="B31" s="813"/>
      <c r="C31" s="974" t="s">
        <v>373</v>
      </c>
      <c r="D31" s="813">
        <f t="shared" si="48"/>
        <v>20</v>
      </c>
      <c r="E31" s="974" t="s">
        <v>374</v>
      </c>
      <c r="F31" s="996" t="s">
        <v>493</v>
      </c>
      <c r="G31" s="996" t="s">
        <v>375</v>
      </c>
      <c r="H31" s="996">
        <v>18.5</v>
      </c>
      <c r="I31" s="997">
        <v>48000</v>
      </c>
      <c r="J31" s="998">
        <f t="shared" si="7"/>
        <v>888000</v>
      </c>
      <c r="K31" s="998"/>
      <c r="L31" s="998"/>
      <c r="M31" s="998"/>
      <c r="N31" s="998">
        <f t="shared" si="8"/>
        <v>888000</v>
      </c>
      <c r="O31" s="998">
        <f t="shared" si="9"/>
        <v>22200</v>
      </c>
      <c r="P31" s="998">
        <f t="shared" si="10"/>
        <v>910200</v>
      </c>
      <c r="Q31" s="999">
        <f t="shared" si="11"/>
        <v>1.2500000000000001E-2</v>
      </c>
      <c r="R31" s="998">
        <f t="shared" si="12"/>
        <v>11377.5</v>
      </c>
      <c r="S31" s="1000" t="s">
        <v>450</v>
      </c>
      <c r="T31" s="1000">
        <f t="shared" si="13"/>
        <v>921577.5</v>
      </c>
      <c r="U31" s="1000"/>
      <c r="V31" s="1000">
        <f t="shared" si="14"/>
        <v>34559.15625</v>
      </c>
      <c r="W31" s="1000">
        <f t="shared" si="15"/>
        <v>956136.65625</v>
      </c>
      <c r="X31" s="1000"/>
      <c r="Y31" s="1000">
        <f t="shared" si="16"/>
        <v>956136.65625</v>
      </c>
      <c r="Z31" s="1000"/>
      <c r="AA31" s="1000">
        <f t="shared" si="17"/>
        <v>956136.65625</v>
      </c>
      <c r="AB31" s="1000"/>
      <c r="AC31" s="1000">
        <f t="shared" si="18"/>
        <v>956136.65625</v>
      </c>
      <c r="AD31" s="1000"/>
      <c r="AE31" s="1000">
        <f t="shared" si="19"/>
        <v>956136.65625</v>
      </c>
      <c r="AF31" s="1000"/>
      <c r="AG31" s="1000">
        <f t="shared" si="20"/>
        <v>956136.65625</v>
      </c>
      <c r="AH31" s="1000"/>
      <c r="AI31" s="1000">
        <f t="shared" si="21"/>
        <v>956136.65625</v>
      </c>
      <c r="AJ31" s="1000"/>
      <c r="AK31" s="1000">
        <f t="shared" si="22"/>
        <v>956136.65625</v>
      </c>
      <c r="AL31" s="1000"/>
      <c r="AM31" s="1000">
        <f t="shared" si="23"/>
        <v>956136.65625</v>
      </c>
      <c r="AN31" s="1000"/>
      <c r="AO31" s="1000">
        <f t="shared" si="24"/>
        <v>956136.65625</v>
      </c>
      <c r="AP31" s="1000"/>
      <c r="AQ31" s="1000">
        <f t="shared" si="25"/>
        <v>956136.65625</v>
      </c>
      <c r="AR31" s="1000"/>
      <c r="AS31" s="1000">
        <f t="shared" si="26"/>
        <v>956136.65625</v>
      </c>
      <c r="AT31" s="998">
        <f t="shared" si="27"/>
        <v>956136.65625</v>
      </c>
      <c r="AU31" s="998">
        <f t="shared" si="28"/>
        <v>114736.39874999999</v>
      </c>
      <c r="AV31" s="998">
        <f t="shared" si="29"/>
        <v>95613.665625000009</v>
      </c>
      <c r="AW31" s="998">
        <f t="shared" si="57"/>
        <v>1166486.7206249998</v>
      </c>
      <c r="AX31" s="1001">
        <v>0.15</v>
      </c>
      <c r="AY31" s="998">
        <f t="shared" si="49"/>
        <v>174973.00809374996</v>
      </c>
      <c r="AZ31" s="998">
        <v>10000</v>
      </c>
      <c r="BA31" s="998">
        <f t="shared" si="50"/>
        <v>164973.00809374996</v>
      </c>
      <c r="BB31" s="998">
        <f t="shared" si="30"/>
        <v>1</v>
      </c>
      <c r="BC31" s="997">
        <f t="shared" si="51"/>
        <v>164973.00809374996</v>
      </c>
      <c r="BD31" s="1002">
        <f t="shared" si="31"/>
        <v>0.85</v>
      </c>
      <c r="BE31" s="998">
        <f t="shared" si="52"/>
        <v>991513.71253124985</v>
      </c>
      <c r="BF31" s="1003">
        <f t="shared" si="32"/>
        <v>8912.0055576093382</v>
      </c>
      <c r="BG31" s="1003">
        <f t="shared" si="33"/>
        <v>11512.314928641541</v>
      </c>
      <c r="BH31" s="1003">
        <f t="shared" si="34"/>
        <v>19633.159877310332</v>
      </c>
      <c r="BJ31" s="818"/>
      <c r="BK31" s="818"/>
      <c r="BL31" s="907">
        <f t="shared" si="53"/>
        <v>45658</v>
      </c>
      <c r="BM31" s="908">
        <f t="shared" si="35"/>
        <v>15</v>
      </c>
      <c r="BN31" s="909"/>
      <c r="BO31" s="907">
        <f t="shared" si="36"/>
        <v>45723</v>
      </c>
      <c r="BP31" s="908">
        <f t="shared" si="37"/>
        <v>17</v>
      </c>
      <c r="BQ31" s="818"/>
      <c r="BR31" s="1004"/>
      <c r="BS31" s="818"/>
      <c r="BT31" s="818"/>
      <c r="BU31" s="818"/>
      <c r="BV31" s="818"/>
      <c r="BW31" s="818"/>
      <c r="BX31" s="818"/>
      <c r="BY31" s="818"/>
      <c r="BZ31" s="1004"/>
      <c r="CA31" s="1016" t="s">
        <v>262</v>
      </c>
      <c r="CB31" s="1021" t="s">
        <v>262</v>
      </c>
      <c r="CC31" s="1017" t="b">
        <f t="shared" si="38"/>
        <v>1</v>
      </c>
      <c r="CD31" s="695" t="s">
        <v>262</v>
      </c>
      <c r="CE31" s="1018" t="b">
        <f t="shared" si="39"/>
        <v>1</v>
      </c>
      <c r="CG31" s="1027"/>
      <c r="CH31" s="1028"/>
      <c r="ED31" s="947"/>
      <c r="EF31" s="947"/>
      <c r="EG31" s="947"/>
      <c r="EH31" s="947"/>
      <c r="EI31" s="947"/>
      <c r="EJ31" s="947"/>
      <c r="EK31" s="947"/>
      <c r="EL31" s="947"/>
      <c r="EW31" s="1020"/>
      <c r="EX31" s="938">
        <f t="shared" si="2"/>
        <v>1166486.7206249998</v>
      </c>
      <c r="EY31" s="942">
        <f t="shared" si="3"/>
        <v>0.15</v>
      </c>
      <c r="EZ31" s="938">
        <f t="shared" si="4"/>
        <v>174973.00809374996</v>
      </c>
      <c r="FA31" s="938">
        <f t="shared" si="5"/>
        <v>10000</v>
      </c>
      <c r="FB31" s="938">
        <f t="shared" si="6"/>
        <v>164973.00809374996</v>
      </c>
      <c r="FC31" s="813">
        <f t="shared" si="40"/>
        <v>25</v>
      </c>
      <c r="FD31" s="814">
        <f t="shared" si="41"/>
        <v>6598.9203237499987</v>
      </c>
      <c r="FE31" s="942">
        <f t="shared" si="42"/>
        <v>0.85</v>
      </c>
      <c r="FF31" s="938">
        <f t="shared" si="43"/>
        <v>991513.71253124985</v>
      </c>
      <c r="FG31" s="940">
        <f t="shared" si="44"/>
        <v>8912.0055576093382</v>
      </c>
      <c r="FH31" s="940">
        <f t="shared" si="45"/>
        <v>11512.314928641541</v>
      </c>
      <c r="FI31" s="940">
        <f t="shared" si="46"/>
        <v>19633.159877310332</v>
      </c>
      <c r="FJ31" s="840"/>
      <c r="FK31" s="938">
        <f t="shared" si="58"/>
        <v>-158374.08776999995</v>
      </c>
      <c r="FN31" s="1030"/>
      <c r="FO31" s="1030"/>
      <c r="FP31" s="1030"/>
      <c r="FU31" s="1030"/>
      <c r="FV31" s="1030"/>
    </row>
    <row r="32" spans="1:178" s="695" customFormat="1" ht="14.5" hidden="1" x14ac:dyDescent="0.3">
      <c r="A32" s="974">
        <f t="shared" si="47"/>
        <v>21</v>
      </c>
      <c r="B32" s="813"/>
      <c r="C32" s="974" t="s">
        <v>373</v>
      </c>
      <c r="D32" s="813">
        <f t="shared" si="48"/>
        <v>21</v>
      </c>
      <c r="E32" s="974" t="s">
        <v>374</v>
      </c>
      <c r="F32" s="996" t="s">
        <v>494</v>
      </c>
      <c r="G32" s="996" t="s">
        <v>375</v>
      </c>
      <c r="H32" s="996">
        <v>13.5</v>
      </c>
      <c r="I32" s="997">
        <v>52000</v>
      </c>
      <c r="J32" s="998">
        <f t="shared" si="7"/>
        <v>702000</v>
      </c>
      <c r="K32" s="998">
        <v>40000</v>
      </c>
      <c r="L32" s="998">
        <v>50000</v>
      </c>
      <c r="M32" s="998"/>
      <c r="N32" s="998">
        <f t="shared" si="8"/>
        <v>792000</v>
      </c>
      <c r="O32" s="998">
        <f t="shared" si="9"/>
        <v>19800</v>
      </c>
      <c r="P32" s="998">
        <f t="shared" si="10"/>
        <v>811800</v>
      </c>
      <c r="Q32" s="999">
        <f t="shared" si="11"/>
        <v>1.2500000000000001E-2</v>
      </c>
      <c r="R32" s="998">
        <f t="shared" si="12"/>
        <v>10147.5</v>
      </c>
      <c r="S32" s="1000" t="s">
        <v>450</v>
      </c>
      <c r="T32" s="1000">
        <f t="shared" si="13"/>
        <v>821947.5</v>
      </c>
      <c r="U32" s="1000"/>
      <c r="V32" s="1000">
        <f t="shared" si="14"/>
        <v>30823.03125</v>
      </c>
      <c r="W32" s="1000">
        <f t="shared" si="15"/>
        <v>852770.53125</v>
      </c>
      <c r="X32" s="1000"/>
      <c r="Y32" s="1000">
        <f t="shared" si="16"/>
        <v>852770.53125</v>
      </c>
      <c r="Z32" s="1000"/>
      <c r="AA32" s="1000">
        <f t="shared" si="17"/>
        <v>852770.53125</v>
      </c>
      <c r="AB32" s="1000"/>
      <c r="AC32" s="1000">
        <f t="shared" si="18"/>
        <v>852770.53125</v>
      </c>
      <c r="AD32" s="1000"/>
      <c r="AE32" s="1000">
        <f t="shared" si="19"/>
        <v>852770.53125</v>
      </c>
      <c r="AF32" s="1000"/>
      <c r="AG32" s="1000">
        <f t="shared" si="20"/>
        <v>852770.53125</v>
      </c>
      <c r="AH32" s="1000"/>
      <c r="AI32" s="1000">
        <f t="shared" si="21"/>
        <v>852770.53125</v>
      </c>
      <c r="AJ32" s="1000"/>
      <c r="AK32" s="1000">
        <f t="shared" si="22"/>
        <v>852770.53125</v>
      </c>
      <c r="AL32" s="1000"/>
      <c r="AM32" s="1000">
        <f t="shared" si="23"/>
        <v>852770.53125</v>
      </c>
      <c r="AN32" s="1000"/>
      <c r="AO32" s="1000">
        <f t="shared" si="24"/>
        <v>852770.53125</v>
      </c>
      <c r="AP32" s="1000"/>
      <c r="AQ32" s="1000">
        <f t="shared" si="25"/>
        <v>852770.53125</v>
      </c>
      <c r="AR32" s="1000"/>
      <c r="AS32" s="1000">
        <f t="shared" si="26"/>
        <v>852770.53125</v>
      </c>
      <c r="AT32" s="998">
        <f t="shared" si="27"/>
        <v>852770.53125</v>
      </c>
      <c r="AU32" s="998">
        <f t="shared" si="28"/>
        <v>102332.46375</v>
      </c>
      <c r="AV32" s="998">
        <f t="shared" si="29"/>
        <v>85277.053125000006</v>
      </c>
      <c r="AW32" s="998">
        <f t="shared" si="57"/>
        <v>1040380.048125</v>
      </c>
      <c r="AX32" s="1001">
        <v>0.15</v>
      </c>
      <c r="AY32" s="998">
        <f t="shared" si="49"/>
        <v>156057.00721874999</v>
      </c>
      <c r="AZ32" s="998">
        <v>10000</v>
      </c>
      <c r="BA32" s="998">
        <f t="shared" si="50"/>
        <v>146057.00721874999</v>
      </c>
      <c r="BB32" s="998">
        <f t="shared" si="30"/>
        <v>1</v>
      </c>
      <c r="BC32" s="997">
        <f t="shared" si="51"/>
        <v>146057.00721874999</v>
      </c>
      <c r="BD32" s="1002">
        <f t="shared" si="31"/>
        <v>0.85</v>
      </c>
      <c r="BE32" s="998">
        <f t="shared" si="52"/>
        <v>884323.04090625001</v>
      </c>
      <c r="BF32" s="1003">
        <f t="shared" si="32"/>
        <v>7948.5454973272472</v>
      </c>
      <c r="BG32" s="1003">
        <f t="shared" si="33"/>
        <v>10267.740341761377</v>
      </c>
      <c r="BH32" s="1003">
        <f t="shared" si="34"/>
        <v>17510.656106790302</v>
      </c>
      <c r="BJ32" s="818"/>
      <c r="BK32" s="818"/>
      <c r="BL32" s="907">
        <f t="shared" si="53"/>
        <v>45658</v>
      </c>
      <c r="BM32" s="908">
        <f t="shared" si="35"/>
        <v>15</v>
      </c>
      <c r="BN32" s="909"/>
      <c r="BO32" s="907">
        <f t="shared" si="36"/>
        <v>45723</v>
      </c>
      <c r="BP32" s="908">
        <f t="shared" si="37"/>
        <v>17</v>
      </c>
      <c r="BQ32" s="818"/>
      <c r="BR32" s="1004"/>
      <c r="BS32" s="818"/>
      <c r="BT32" s="818"/>
      <c r="BU32" s="818"/>
      <c r="BV32" s="818"/>
      <c r="BW32" s="818"/>
      <c r="BX32" s="818"/>
      <c r="BY32" s="818"/>
      <c r="BZ32" s="1004"/>
      <c r="CA32" s="1016" t="s">
        <v>262</v>
      </c>
      <c r="CB32" s="1021" t="s">
        <v>262</v>
      </c>
      <c r="CC32" s="1017" t="b">
        <f t="shared" si="38"/>
        <v>1</v>
      </c>
      <c r="CD32" s="695" t="s">
        <v>262</v>
      </c>
      <c r="CE32" s="1018" t="b">
        <f t="shared" si="39"/>
        <v>1</v>
      </c>
      <c r="CG32" s="1027"/>
      <c r="CH32" s="1028"/>
      <c r="ED32" s="947"/>
      <c r="EF32" s="947"/>
      <c r="EG32" s="947"/>
      <c r="EH32" s="947"/>
      <c r="EI32" s="947"/>
      <c r="EJ32" s="947"/>
      <c r="EK32" s="947"/>
      <c r="EL32" s="947"/>
      <c r="EW32" s="1020"/>
      <c r="EX32" s="938">
        <f t="shared" si="2"/>
        <v>1040380.048125</v>
      </c>
      <c r="EY32" s="942">
        <f t="shared" si="3"/>
        <v>0.15</v>
      </c>
      <c r="EZ32" s="938">
        <f t="shared" si="4"/>
        <v>156057.00721874999</v>
      </c>
      <c r="FA32" s="938">
        <f t="shared" si="5"/>
        <v>10000</v>
      </c>
      <c r="FB32" s="938">
        <f t="shared" si="6"/>
        <v>146057.00721874999</v>
      </c>
      <c r="FC32" s="813">
        <f t="shared" si="40"/>
        <v>25</v>
      </c>
      <c r="FD32" s="814">
        <f t="shared" si="41"/>
        <v>5842.2802887499993</v>
      </c>
      <c r="FE32" s="942">
        <f t="shared" si="42"/>
        <v>0.85</v>
      </c>
      <c r="FF32" s="938">
        <f t="shared" si="43"/>
        <v>884323.04090625001</v>
      </c>
      <c r="FG32" s="940">
        <f t="shared" si="44"/>
        <v>7948.5454973272472</v>
      </c>
      <c r="FH32" s="940">
        <f t="shared" si="45"/>
        <v>10267.740341761377</v>
      </c>
      <c r="FI32" s="940">
        <f t="shared" si="46"/>
        <v>17510.656106790302</v>
      </c>
      <c r="FJ32" s="840"/>
      <c r="FK32" s="938">
        <f t="shared" si="58"/>
        <v>-140214.72693</v>
      </c>
      <c r="FN32" s="1030"/>
      <c r="FO32" s="1030"/>
      <c r="FP32" s="1030"/>
      <c r="FU32" s="1030"/>
      <c r="FV32" s="1030"/>
    </row>
    <row r="33" spans="1:178" s="695" customFormat="1" ht="14.5" hidden="1" x14ac:dyDescent="0.3">
      <c r="A33" s="974">
        <f t="shared" si="47"/>
        <v>22</v>
      </c>
      <c r="B33" s="813"/>
      <c r="C33" s="974" t="s">
        <v>373</v>
      </c>
      <c r="D33" s="813">
        <f t="shared" si="48"/>
        <v>22</v>
      </c>
      <c r="E33" s="974" t="s">
        <v>374</v>
      </c>
      <c r="F33" s="996" t="s">
        <v>495</v>
      </c>
      <c r="G33" s="996" t="s">
        <v>375</v>
      </c>
      <c r="H33" s="996">
        <v>13.5</v>
      </c>
      <c r="I33" s="997">
        <v>52000</v>
      </c>
      <c r="J33" s="998">
        <f t="shared" si="7"/>
        <v>702000</v>
      </c>
      <c r="K33" s="998">
        <v>40000</v>
      </c>
      <c r="L33" s="998">
        <v>50000</v>
      </c>
      <c r="M33" s="998"/>
      <c r="N33" s="998">
        <f t="shared" si="8"/>
        <v>792000</v>
      </c>
      <c r="O33" s="998">
        <f t="shared" si="9"/>
        <v>19800</v>
      </c>
      <c r="P33" s="998">
        <f t="shared" si="10"/>
        <v>811800</v>
      </c>
      <c r="Q33" s="999">
        <f t="shared" si="11"/>
        <v>1.2500000000000001E-2</v>
      </c>
      <c r="R33" s="998">
        <f t="shared" si="12"/>
        <v>10147.5</v>
      </c>
      <c r="S33" s="1000" t="s">
        <v>450</v>
      </c>
      <c r="T33" s="1000">
        <f t="shared" si="13"/>
        <v>821947.5</v>
      </c>
      <c r="U33" s="1000"/>
      <c r="V33" s="1000">
        <f t="shared" si="14"/>
        <v>30823.03125</v>
      </c>
      <c r="W33" s="1000">
        <f t="shared" si="15"/>
        <v>852770.53125</v>
      </c>
      <c r="X33" s="1000"/>
      <c r="Y33" s="1000">
        <f t="shared" si="16"/>
        <v>852770.53125</v>
      </c>
      <c r="Z33" s="1000"/>
      <c r="AA33" s="1000">
        <f t="shared" si="17"/>
        <v>852770.53125</v>
      </c>
      <c r="AB33" s="1000"/>
      <c r="AC33" s="1000">
        <f t="shared" si="18"/>
        <v>852770.53125</v>
      </c>
      <c r="AD33" s="1000"/>
      <c r="AE33" s="1000">
        <f t="shared" si="19"/>
        <v>852770.53125</v>
      </c>
      <c r="AF33" s="1000"/>
      <c r="AG33" s="1000">
        <f t="shared" si="20"/>
        <v>852770.53125</v>
      </c>
      <c r="AH33" s="1000"/>
      <c r="AI33" s="1000">
        <f t="shared" si="21"/>
        <v>852770.53125</v>
      </c>
      <c r="AJ33" s="1000"/>
      <c r="AK33" s="1000">
        <f t="shared" si="22"/>
        <v>852770.53125</v>
      </c>
      <c r="AL33" s="1000"/>
      <c r="AM33" s="1000">
        <f t="shared" si="23"/>
        <v>852770.53125</v>
      </c>
      <c r="AN33" s="1000"/>
      <c r="AO33" s="1000">
        <f t="shared" si="24"/>
        <v>852770.53125</v>
      </c>
      <c r="AP33" s="1000"/>
      <c r="AQ33" s="1000">
        <f t="shared" si="25"/>
        <v>852770.53125</v>
      </c>
      <c r="AR33" s="1000"/>
      <c r="AS33" s="1000">
        <f t="shared" si="26"/>
        <v>852770.53125</v>
      </c>
      <c r="AT33" s="998">
        <f t="shared" si="27"/>
        <v>852770.53125</v>
      </c>
      <c r="AU33" s="998">
        <f t="shared" si="28"/>
        <v>102332.46375</v>
      </c>
      <c r="AV33" s="998">
        <f t="shared" si="29"/>
        <v>85277.053125000006</v>
      </c>
      <c r="AW33" s="998">
        <f t="shared" si="57"/>
        <v>1040380.048125</v>
      </c>
      <c r="AX33" s="1001">
        <v>0.15</v>
      </c>
      <c r="AY33" s="998">
        <f t="shared" si="49"/>
        <v>156057.00721874999</v>
      </c>
      <c r="AZ33" s="998">
        <v>10000</v>
      </c>
      <c r="BA33" s="998">
        <f t="shared" si="50"/>
        <v>146057.00721874999</v>
      </c>
      <c r="BB33" s="998">
        <f t="shared" si="30"/>
        <v>1</v>
      </c>
      <c r="BC33" s="997">
        <f t="shared" si="51"/>
        <v>146057.00721874999</v>
      </c>
      <c r="BD33" s="1002">
        <f t="shared" si="31"/>
        <v>0.85</v>
      </c>
      <c r="BE33" s="998">
        <f t="shared" si="52"/>
        <v>884323.04090625001</v>
      </c>
      <c r="BF33" s="1003">
        <f t="shared" si="32"/>
        <v>7948.5454973272472</v>
      </c>
      <c r="BG33" s="1003">
        <f t="shared" si="33"/>
        <v>10267.740341761377</v>
      </c>
      <c r="BH33" s="1003">
        <f t="shared" si="34"/>
        <v>17510.656106790302</v>
      </c>
      <c r="BJ33" s="818"/>
      <c r="BK33" s="818"/>
      <c r="BL33" s="907">
        <f t="shared" si="53"/>
        <v>45658</v>
      </c>
      <c r="BM33" s="908">
        <f t="shared" si="35"/>
        <v>15</v>
      </c>
      <c r="BN33" s="909"/>
      <c r="BO33" s="907">
        <f t="shared" si="36"/>
        <v>45723</v>
      </c>
      <c r="BP33" s="908">
        <f t="shared" si="37"/>
        <v>17</v>
      </c>
      <c r="BQ33" s="818"/>
      <c r="BR33" s="1004"/>
      <c r="BS33" s="818"/>
      <c r="BT33" s="818"/>
      <c r="BU33" s="818"/>
      <c r="BV33" s="818"/>
      <c r="BW33" s="818"/>
      <c r="BX33" s="818"/>
      <c r="BY33" s="818"/>
      <c r="BZ33" s="1004"/>
      <c r="CA33" s="1016" t="s">
        <v>262</v>
      </c>
      <c r="CB33" s="1021" t="s">
        <v>262</v>
      </c>
      <c r="CC33" s="1017" t="b">
        <f t="shared" si="38"/>
        <v>1</v>
      </c>
      <c r="CD33" s="695" t="s">
        <v>262</v>
      </c>
      <c r="CE33" s="1018" t="b">
        <f t="shared" si="39"/>
        <v>1</v>
      </c>
      <c r="CG33" s="1027"/>
      <c r="CH33" s="1028"/>
      <c r="ED33" s="947"/>
      <c r="EF33" s="947"/>
      <c r="EG33" s="947"/>
      <c r="EH33" s="947"/>
      <c r="EI33" s="947"/>
      <c r="EJ33" s="947"/>
      <c r="EK33" s="947"/>
      <c r="EL33" s="947"/>
      <c r="EW33" s="1020"/>
      <c r="EX33" s="938">
        <f t="shared" si="2"/>
        <v>1040380.048125</v>
      </c>
      <c r="EY33" s="942">
        <f t="shared" si="3"/>
        <v>0.15</v>
      </c>
      <c r="EZ33" s="938">
        <f t="shared" si="4"/>
        <v>156057.00721874999</v>
      </c>
      <c r="FA33" s="938">
        <f t="shared" si="5"/>
        <v>10000</v>
      </c>
      <c r="FB33" s="938">
        <f t="shared" si="6"/>
        <v>146057.00721874999</v>
      </c>
      <c r="FC33" s="813">
        <f t="shared" si="40"/>
        <v>25</v>
      </c>
      <c r="FD33" s="814">
        <f t="shared" si="41"/>
        <v>5842.2802887499993</v>
      </c>
      <c r="FE33" s="942">
        <f t="shared" si="42"/>
        <v>0.85</v>
      </c>
      <c r="FF33" s="938">
        <f t="shared" si="43"/>
        <v>884323.04090625001</v>
      </c>
      <c r="FG33" s="940">
        <f t="shared" si="44"/>
        <v>7948.5454973272472</v>
      </c>
      <c r="FH33" s="940">
        <f t="shared" si="45"/>
        <v>10267.740341761377</v>
      </c>
      <c r="FI33" s="940">
        <f t="shared" si="46"/>
        <v>17510.656106790302</v>
      </c>
      <c r="FJ33" s="840"/>
      <c r="FK33" s="938">
        <f t="shared" si="58"/>
        <v>-140214.72693</v>
      </c>
      <c r="FN33" s="1030"/>
      <c r="FO33" s="1030"/>
      <c r="FP33" s="1030"/>
      <c r="FU33" s="1030"/>
      <c r="FV33" s="1030"/>
    </row>
    <row r="34" spans="1:178" s="695" customFormat="1" ht="14.5" hidden="1" x14ac:dyDescent="0.3">
      <c r="A34" s="974">
        <f t="shared" si="47"/>
        <v>23</v>
      </c>
      <c r="B34" s="813"/>
      <c r="C34" s="974" t="s">
        <v>373</v>
      </c>
      <c r="D34" s="813">
        <f t="shared" si="48"/>
        <v>23</v>
      </c>
      <c r="E34" s="974" t="s">
        <v>374</v>
      </c>
      <c r="F34" s="996" t="s">
        <v>496</v>
      </c>
      <c r="G34" s="996" t="s">
        <v>375</v>
      </c>
      <c r="H34" s="996">
        <v>18.5</v>
      </c>
      <c r="I34" s="997">
        <v>48000</v>
      </c>
      <c r="J34" s="998">
        <f t="shared" si="7"/>
        <v>888000</v>
      </c>
      <c r="K34" s="998"/>
      <c r="L34" s="998"/>
      <c r="M34" s="998"/>
      <c r="N34" s="998">
        <f t="shared" si="8"/>
        <v>888000</v>
      </c>
      <c r="O34" s="998">
        <f t="shared" si="9"/>
        <v>22200</v>
      </c>
      <c r="P34" s="998">
        <f t="shared" si="10"/>
        <v>910200</v>
      </c>
      <c r="Q34" s="999">
        <f t="shared" si="11"/>
        <v>1.2500000000000001E-2</v>
      </c>
      <c r="R34" s="998">
        <f t="shared" si="12"/>
        <v>11377.5</v>
      </c>
      <c r="S34" s="1000" t="s">
        <v>450</v>
      </c>
      <c r="T34" s="1000">
        <f t="shared" si="13"/>
        <v>921577.5</v>
      </c>
      <c r="U34" s="1000"/>
      <c r="V34" s="1000">
        <f t="shared" si="14"/>
        <v>34559.15625</v>
      </c>
      <c r="W34" s="1000">
        <f t="shared" si="15"/>
        <v>956136.65625</v>
      </c>
      <c r="X34" s="1000"/>
      <c r="Y34" s="1000">
        <f t="shared" si="16"/>
        <v>956136.65625</v>
      </c>
      <c r="Z34" s="1000"/>
      <c r="AA34" s="1000">
        <f t="shared" si="17"/>
        <v>956136.65625</v>
      </c>
      <c r="AB34" s="1000"/>
      <c r="AC34" s="1000">
        <f t="shared" si="18"/>
        <v>956136.65625</v>
      </c>
      <c r="AD34" s="1000"/>
      <c r="AE34" s="1000">
        <f t="shared" si="19"/>
        <v>956136.65625</v>
      </c>
      <c r="AF34" s="1000"/>
      <c r="AG34" s="1000">
        <f t="shared" si="20"/>
        <v>956136.65625</v>
      </c>
      <c r="AH34" s="1000"/>
      <c r="AI34" s="1000">
        <f t="shared" si="21"/>
        <v>956136.65625</v>
      </c>
      <c r="AJ34" s="1000"/>
      <c r="AK34" s="1000">
        <f t="shared" si="22"/>
        <v>956136.65625</v>
      </c>
      <c r="AL34" s="1000"/>
      <c r="AM34" s="1000">
        <f t="shared" si="23"/>
        <v>956136.65625</v>
      </c>
      <c r="AN34" s="1000"/>
      <c r="AO34" s="1000">
        <f t="shared" si="24"/>
        <v>956136.65625</v>
      </c>
      <c r="AP34" s="1000"/>
      <c r="AQ34" s="1000">
        <f t="shared" si="25"/>
        <v>956136.65625</v>
      </c>
      <c r="AR34" s="1000"/>
      <c r="AS34" s="1000">
        <f t="shared" si="26"/>
        <v>956136.65625</v>
      </c>
      <c r="AT34" s="998">
        <f t="shared" si="27"/>
        <v>956136.65625</v>
      </c>
      <c r="AU34" s="998">
        <f t="shared" si="28"/>
        <v>114736.39874999999</v>
      </c>
      <c r="AV34" s="998">
        <f t="shared" si="29"/>
        <v>95613.665625000009</v>
      </c>
      <c r="AW34" s="998">
        <f t="shared" si="57"/>
        <v>1166486.7206249998</v>
      </c>
      <c r="AX34" s="1001">
        <v>0.15</v>
      </c>
      <c r="AY34" s="998">
        <f t="shared" si="49"/>
        <v>174973.00809374996</v>
      </c>
      <c r="AZ34" s="998">
        <v>10000</v>
      </c>
      <c r="BA34" s="998">
        <f t="shared" si="50"/>
        <v>164973.00809374996</v>
      </c>
      <c r="BB34" s="998">
        <f t="shared" si="30"/>
        <v>1</v>
      </c>
      <c r="BC34" s="997">
        <f t="shared" si="51"/>
        <v>164973.00809374996</v>
      </c>
      <c r="BD34" s="1002">
        <f t="shared" si="31"/>
        <v>0.85</v>
      </c>
      <c r="BE34" s="998">
        <f t="shared" si="52"/>
        <v>991513.71253124985</v>
      </c>
      <c r="BF34" s="1003">
        <f t="shared" si="32"/>
        <v>8912.0055576093382</v>
      </c>
      <c r="BG34" s="1003">
        <f t="shared" si="33"/>
        <v>11512.314928641541</v>
      </c>
      <c r="BH34" s="1003">
        <f t="shared" si="34"/>
        <v>19633.159877310332</v>
      </c>
      <c r="BJ34" s="818"/>
      <c r="BK34" s="818"/>
      <c r="BL34" s="907">
        <f t="shared" si="53"/>
        <v>45658</v>
      </c>
      <c r="BM34" s="908">
        <f t="shared" si="35"/>
        <v>15</v>
      </c>
      <c r="BN34" s="909"/>
      <c r="BO34" s="907">
        <f t="shared" si="36"/>
        <v>45723</v>
      </c>
      <c r="BP34" s="908">
        <f t="shared" si="37"/>
        <v>17</v>
      </c>
      <c r="BQ34" s="818"/>
      <c r="BR34" s="1004"/>
      <c r="BS34" s="818"/>
      <c r="BT34" s="818"/>
      <c r="BU34" s="818"/>
      <c r="BV34" s="818"/>
      <c r="BW34" s="818"/>
      <c r="BX34" s="818"/>
      <c r="BY34" s="818"/>
      <c r="BZ34" s="1004"/>
      <c r="CA34" s="1016" t="s">
        <v>262</v>
      </c>
      <c r="CB34" s="1021" t="s">
        <v>262</v>
      </c>
      <c r="CC34" s="1017" t="b">
        <f t="shared" si="38"/>
        <v>1</v>
      </c>
      <c r="CD34" s="695" t="s">
        <v>262</v>
      </c>
      <c r="CE34" s="1018" t="b">
        <f t="shared" si="39"/>
        <v>1</v>
      </c>
      <c r="CG34" s="1027"/>
      <c r="CH34" s="1028"/>
      <c r="ED34" s="947"/>
      <c r="EF34" s="947"/>
      <c r="EG34" s="947"/>
      <c r="EH34" s="947"/>
      <c r="EI34" s="947"/>
      <c r="EJ34" s="947"/>
      <c r="EK34" s="947"/>
      <c r="EL34" s="947"/>
      <c r="EW34" s="1020"/>
      <c r="EX34" s="938">
        <f t="shared" si="2"/>
        <v>1166486.7206249998</v>
      </c>
      <c r="EY34" s="942">
        <f t="shared" si="3"/>
        <v>0.15</v>
      </c>
      <c r="EZ34" s="938">
        <f t="shared" si="4"/>
        <v>174973.00809374996</v>
      </c>
      <c r="FA34" s="938">
        <f t="shared" si="5"/>
        <v>10000</v>
      </c>
      <c r="FB34" s="938">
        <f t="shared" si="6"/>
        <v>164973.00809374996</v>
      </c>
      <c r="FC34" s="813">
        <f t="shared" si="40"/>
        <v>25</v>
      </c>
      <c r="FD34" s="814">
        <f t="shared" si="41"/>
        <v>6598.9203237499987</v>
      </c>
      <c r="FE34" s="942">
        <f t="shared" si="42"/>
        <v>0.85</v>
      </c>
      <c r="FF34" s="938">
        <f t="shared" si="43"/>
        <v>991513.71253124985</v>
      </c>
      <c r="FG34" s="940">
        <f t="shared" si="44"/>
        <v>8912.0055576093382</v>
      </c>
      <c r="FH34" s="940">
        <f t="shared" si="45"/>
        <v>11512.314928641541</v>
      </c>
      <c r="FI34" s="940">
        <f t="shared" si="46"/>
        <v>19633.159877310332</v>
      </c>
      <c r="FJ34" s="840"/>
      <c r="FK34" s="938">
        <f t="shared" si="58"/>
        <v>-158374.08776999995</v>
      </c>
      <c r="FN34" s="1030"/>
      <c r="FO34" s="1030"/>
      <c r="FP34" s="1030"/>
      <c r="FU34" s="1030"/>
      <c r="FV34" s="1030"/>
    </row>
    <row r="35" spans="1:178" s="695" customFormat="1" ht="14.5" hidden="1" x14ac:dyDescent="0.3">
      <c r="A35" s="974">
        <f t="shared" si="47"/>
        <v>24</v>
      </c>
      <c r="B35" s="813"/>
      <c r="C35" s="974" t="s">
        <v>373</v>
      </c>
      <c r="D35" s="813">
        <f t="shared" si="48"/>
        <v>24</v>
      </c>
      <c r="E35" s="974" t="s">
        <v>374</v>
      </c>
      <c r="F35" s="996" t="s">
        <v>497</v>
      </c>
      <c r="G35" s="996" t="s">
        <v>375</v>
      </c>
      <c r="H35" s="996">
        <v>13.5</v>
      </c>
      <c r="I35" s="997">
        <v>52000</v>
      </c>
      <c r="J35" s="998">
        <f t="shared" si="7"/>
        <v>702000</v>
      </c>
      <c r="K35" s="998">
        <v>40000</v>
      </c>
      <c r="L35" s="998">
        <v>50000</v>
      </c>
      <c r="M35" s="998"/>
      <c r="N35" s="998">
        <f t="shared" si="8"/>
        <v>792000</v>
      </c>
      <c r="O35" s="998">
        <f t="shared" si="9"/>
        <v>19800</v>
      </c>
      <c r="P35" s="998">
        <f t="shared" si="10"/>
        <v>811800</v>
      </c>
      <c r="Q35" s="999">
        <f t="shared" si="11"/>
        <v>1.2500000000000001E-2</v>
      </c>
      <c r="R35" s="998">
        <f t="shared" si="12"/>
        <v>10147.5</v>
      </c>
      <c r="S35" s="1000" t="s">
        <v>450</v>
      </c>
      <c r="T35" s="1000">
        <f t="shared" si="13"/>
        <v>821947.5</v>
      </c>
      <c r="U35" s="1000"/>
      <c r="V35" s="1000">
        <f t="shared" si="14"/>
        <v>30823.03125</v>
      </c>
      <c r="W35" s="1000">
        <f t="shared" si="15"/>
        <v>852770.53125</v>
      </c>
      <c r="X35" s="1000"/>
      <c r="Y35" s="1000">
        <f t="shared" si="16"/>
        <v>852770.53125</v>
      </c>
      <c r="Z35" s="1000"/>
      <c r="AA35" s="1000">
        <f t="shared" si="17"/>
        <v>852770.53125</v>
      </c>
      <c r="AB35" s="1000"/>
      <c r="AC35" s="1000">
        <f t="shared" si="18"/>
        <v>852770.53125</v>
      </c>
      <c r="AD35" s="1000"/>
      <c r="AE35" s="1000">
        <f t="shared" si="19"/>
        <v>852770.53125</v>
      </c>
      <c r="AF35" s="1000"/>
      <c r="AG35" s="1000">
        <f t="shared" si="20"/>
        <v>852770.53125</v>
      </c>
      <c r="AH35" s="1000"/>
      <c r="AI35" s="1000">
        <f t="shared" si="21"/>
        <v>852770.53125</v>
      </c>
      <c r="AJ35" s="1000"/>
      <c r="AK35" s="1000">
        <f t="shared" si="22"/>
        <v>852770.53125</v>
      </c>
      <c r="AL35" s="1000"/>
      <c r="AM35" s="1000">
        <f t="shared" si="23"/>
        <v>852770.53125</v>
      </c>
      <c r="AN35" s="1000"/>
      <c r="AO35" s="1000">
        <f t="shared" si="24"/>
        <v>852770.53125</v>
      </c>
      <c r="AP35" s="1000"/>
      <c r="AQ35" s="1000">
        <f t="shared" si="25"/>
        <v>852770.53125</v>
      </c>
      <c r="AR35" s="1000"/>
      <c r="AS35" s="1000">
        <f t="shared" si="26"/>
        <v>852770.53125</v>
      </c>
      <c r="AT35" s="998">
        <f t="shared" si="27"/>
        <v>852770.53125</v>
      </c>
      <c r="AU35" s="998">
        <f t="shared" si="28"/>
        <v>102332.46375</v>
      </c>
      <c r="AV35" s="998">
        <f t="shared" si="29"/>
        <v>85277.053125000006</v>
      </c>
      <c r="AW35" s="998">
        <f t="shared" si="57"/>
        <v>1040380.048125</v>
      </c>
      <c r="AX35" s="1001">
        <v>0.15</v>
      </c>
      <c r="AY35" s="998">
        <f t="shared" si="49"/>
        <v>156057.00721874999</v>
      </c>
      <c r="AZ35" s="998">
        <v>10000</v>
      </c>
      <c r="BA35" s="998">
        <f t="shared" si="50"/>
        <v>146057.00721874999</v>
      </c>
      <c r="BB35" s="998">
        <f t="shared" si="30"/>
        <v>1</v>
      </c>
      <c r="BC35" s="997">
        <f t="shared" si="51"/>
        <v>146057.00721874999</v>
      </c>
      <c r="BD35" s="1002">
        <f t="shared" si="31"/>
        <v>0.85</v>
      </c>
      <c r="BE35" s="998">
        <f t="shared" si="52"/>
        <v>884323.04090625001</v>
      </c>
      <c r="BF35" s="1003">
        <f t="shared" si="32"/>
        <v>7948.5454973272472</v>
      </c>
      <c r="BG35" s="1003">
        <f t="shared" si="33"/>
        <v>10267.740341761377</v>
      </c>
      <c r="BH35" s="1003">
        <f t="shared" si="34"/>
        <v>17510.656106790302</v>
      </c>
      <c r="BJ35" s="818"/>
      <c r="BK35" s="818"/>
      <c r="BL35" s="907">
        <f t="shared" si="53"/>
        <v>45658</v>
      </c>
      <c r="BM35" s="908">
        <f t="shared" si="35"/>
        <v>15</v>
      </c>
      <c r="BN35" s="909"/>
      <c r="BO35" s="907">
        <f t="shared" si="36"/>
        <v>45723</v>
      </c>
      <c r="BP35" s="908">
        <f t="shared" si="37"/>
        <v>17</v>
      </c>
      <c r="BQ35" s="818"/>
      <c r="BR35" s="1004"/>
      <c r="BS35" s="818"/>
      <c r="BT35" s="818"/>
      <c r="BU35" s="818"/>
      <c r="BV35" s="818"/>
      <c r="BW35" s="818"/>
      <c r="BX35" s="818"/>
      <c r="BY35" s="818"/>
      <c r="BZ35" s="1004"/>
      <c r="CA35" s="1016" t="s">
        <v>262</v>
      </c>
      <c r="CB35" s="1021" t="s">
        <v>262</v>
      </c>
      <c r="CC35" s="1017" t="b">
        <f t="shared" si="38"/>
        <v>1</v>
      </c>
      <c r="CD35" s="695" t="s">
        <v>262</v>
      </c>
      <c r="CE35" s="1018" t="b">
        <f t="shared" si="39"/>
        <v>1</v>
      </c>
      <c r="CG35" s="1027"/>
      <c r="CH35" s="1028"/>
      <c r="ED35" s="947"/>
      <c r="EF35" s="947"/>
      <c r="EG35" s="947"/>
      <c r="EH35" s="947"/>
      <c r="EI35" s="947"/>
      <c r="EJ35" s="947"/>
      <c r="EK35" s="947"/>
      <c r="EL35" s="947"/>
      <c r="EW35" s="1020"/>
      <c r="EX35" s="938">
        <f t="shared" si="2"/>
        <v>1040380.048125</v>
      </c>
      <c r="EY35" s="942">
        <f t="shared" si="3"/>
        <v>0.15</v>
      </c>
      <c r="EZ35" s="938">
        <f t="shared" si="4"/>
        <v>156057.00721874999</v>
      </c>
      <c r="FA35" s="938">
        <f t="shared" si="5"/>
        <v>10000</v>
      </c>
      <c r="FB35" s="938">
        <f t="shared" si="6"/>
        <v>146057.00721874999</v>
      </c>
      <c r="FC35" s="813">
        <f t="shared" si="40"/>
        <v>25</v>
      </c>
      <c r="FD35" s="814">
        <f t="shared" si="41"/>
        <v>5842.2802887499993</v>
      </c>
      <c r="FE35" s="942">
        <f t="shared" si="42"/>
        <v>0.85</v>
      </c>
      <c r="FF35" s="938">
        <f t="shared" si="43"/>
        <v>884323.04090625001</v>
      </c>
      <c r="FG35" s="940">
        <f t="shared" si="44"/>
        <v>7948.5454973272472</v>
      </c>
      <c r="FH35" s="940">
        <f t="shared" si="45"/>
        <v>10267.740341761377</v>
      </c>
      <c r="FI35" s="940">
        <f t="shared" si="46"/>
        <v>17510.656106790302</v>
      </c>
      <c r="FJ35" s="840"/>
      <c r="FK35" s="938">
        <f t="shared" si="58"/>
        <v>-140214.72693</v>
      </c>
      <c r="FN35" s="1030"/>
      <c r="FO35" s="1030"/>
      <c r="FP35" s="1030"/>
      <c r="FU35" s="1030"/>
      <c r="FV35" s="1030"/>
    </row>
    <row r="36" spans="1:178" s="695" customFormat="1" ht="14.5" hidden="1" x14ac:dyDescent="0.3">
      <c r="A36" s="974">
        <f t="shared" si="47"/>
        <v>25</v>
      </c>
      <c r="B36" s="813"/>
      <c r="C36" s="974" t="s">
        <v>373</v>
      </c>
      <c r="D36" s="813">
        <f t="shared" si="48"/>
        <v>25</v>
      </c>
      <c r="E36" s="974" t="s">
        <v>374</v>
      </c>
      <c r="F36" s="996" t="s">
        <v>498</v>
      </c>
      <c r="G36" s="996" t="s">
        <v>375</v>
      </c>
      <c r="H36" s="996">
        <v>18.5</v>
      </c>
      <c r="I36" s="997">
        <v>48000</v>
      </c>
      <c r="J36" s="998">
        <f t="shared" si="7"/>
        <v>888000</v>
      </c>
      <c r="K36" s="998"/>
      <c r="L36" s="998"/>
      <c r="M36" s="998"/>
      <c r="N36" s="998">
        <f t="shared" si="8"/>
        <v>888000</v>
      </c>
      <c r="O36" s="998">
        <f t="shared" si="9"/>
        <v>22200</v>
      </c>
      <c r="P36" s="998">
        <f t="shared" si="10"/>
        <v>910200</v>
      </c>
      <c r="Q36" s="999">
        <f t="shared" si="11"/>
        <v>1.2500000000000001E-2</v>
      </c>
      <c r="R36" s="998">
        <f t="shared" si="12"/>
        <v>11377.5</v>
      </c>
      <c r="S36" s="1000" t="s">
        <v>450</v>
      </c>
      <c r="T36" s="1000">
        <f t="shared" si="13"/>
        <v>921577.5</v>
      </c>
      <c r="U36" s="1000"/>
      <c r="V36" s="1000">
        <f t="shared" si="14"/>
        <v>34559.15625</v>
      </c>
      <c r="W36" s="1000">
        <f t="shared" si="15"/>
        <v>956136.65625</v>
      </c>
      <c r="X36" s="1000"/>
      <c r="Y36" s="1000">
        <f t="shared" si="16"/>
        <v>956136.65625</v>
      </c>
      <c r="Z36" s="1000"/>
      <c r="AA36" s="1000">
        <f t="shared" si="17"/>
        <v>956136.65625</v>
      </c>
      <c r="AB36" s="1000"/>
      <c r="AC36" s="1000">
        <f t="shared" si="18"/>
        <v>956136.65625</v>
      </c>
      <c r="AD36" s="1000"/>
      <c r="AE36" s="1000">
        <f t="shared" si="19"/>
        <v>956136.65625</v>
      </c>
      <c r="AF36" s="1000"/>
      <c r="AG36" s="1000">
        <f t="shared" si="20"/>
        <v>956136.65625</v>
      </c>
      <c r="AH36" s="1000"/>
      <c r="AI36" s="1000">
        <f t="shared" si="21"/>
        <v>956136.65625</v>
      </c>
      <c r="AJ36" s="1000"/>
      <c r="AK36" s="1000">
        <f t="shared" si="22"/>
        <v>956136.65625</v>
      </c>
      <c r="AL36" s="1000"/>
      <c r="AM36" s="1000">
        <f t="shared" si="23"/>
        <v>956136.65625</v>
      </c>
      <c r="AN36" s="1000"/>
      <c r="AO36" s="1000">
        <f t="shared" si="24"/>
        <v>956136.65625</v>
      </c>
      <c r="AP36" s="1000"/>
      <c r="AQ36" s="1000">
        <f t="shared" si="25"/>
        <v>956136.65625</v>
      </c>
      <c r="AR36" s="1000"/>
      <c r="AS36" s="1000">
        <f t="shared" si="26"/>
        <v>956136.65625</v>
      </c>
      <c r="AT36" s="998">
        <f t="shared" si="27"/>
        <v>956136.65625</v>
      </c>
      <c r="AU36" s="998">
        <f t="shared" si="28"/>
        <v>114736.39874999999</v>
      </c>
      <c r="AV36" s="998">
        <f t="shared" si="29"/>
        <v>95613.665625000009</v>
      </c>
      <c r="AW36" s="998">
        <f t="shared" si="57"/>
        <v>1166486.7206249998</v>
      </c>
      <c r="AX36" s="1001">
        <v>0.15</v>
      </c>
      <c r="AY36" s="998">
        <f t="shared" si="49"/>
        <v>174973.00809374996</v>
      </c>
      <c r="AZ36" s="998">
        <v>10000</v>
      </c>
      <c r="BA36" s="998">
        <f t="shared" si="50"/>
        <v>164973.00809374996</v>
      </c>
      <c r="BB36" s="998">
        <f t="shared" si="30"/>
        <v>1</v>
      </c>
      <c r="BC36" s="997">
        <f t="shared" si="51"/>
        <v>164973.00809374996</v>
      </c>
      <c r="BD36" s="1002">
        <f t="shared" si="31"/>
        <v>0.85</v>
      </c>
      <c r="BE36" s="998">
        <f t="shared" si="52"/>
        <v>991513.71253124985</v>
      </c>
      <c r="BF36" s="1003">
        <f t="shared" si="32"/>
        <v>8912.0055576093382</v>
      </c>
      <c r="BG36" s="1003">
        <f t="shared" si="33"/>
        <v>11512.314928641541</v>
      </c>
      <c r="BH36" s="1003">
        <f t="shared" si="34"/>
        <v>19633.159877310332</v>
      </c>
      <c r="BJ36" s="818"/>
      <c r="BK36" s="818"/>
      <c r="BL36" s="907">
        <f t="shared" si="53"/>
        <v>45658</v>
      </c>
      <c r="BM36" s="908">
        <f t="shared" si="35"/>
        <v>15</v>
      </c>
      <c r="BN36" s="909"/>
      <c r="BO36" s="907">
        <f t="shared" si="36"/>
        <v>45723</v>
      </c>
      <c r="BP36" s="908">
        <f t="shared" si="37"/>
        <v>17</v>
      </c>
      <c r="BQ36" s="818"/>
      <c r="BR36" s="1004"/>
      <c r="BS36" s="818"/>
      <c r="BT36" s="818"/>
      <c r="BU36" s="818"/>
      <c r="BV36" s="818"/>
      <c r="BW36" s="818"/>
      <c r="BX36" s="818"/>
      <c r="BY36" s="818"/>
      <c r="BZ36" s="1004"/>
      <c r="CA36" s="1016" t="s">
        <v>328</v>
      </c>
      <c r="CB36" s="1021" t="s">
        <v>328</v>
      </c>
      <c r="CC36" s="1017" t="b">
        <f t="shared" si="38"/>
        <v>1</v>
      </c>
      <c r="CD36" s="695" t="s">
        <v>328</v>
      </c>
      <c r="CE36" s="1018" t="b">
        <f t="shared" si="39"/>
        <v>1</v>
      </c>
      <c r="CG36" s="1027"/>
      <c r="CH36" s="1028"/>
      <c r="ED36" s="947"/>
      <c r="EF36" s="947"/>
      <c r="EG36" s="947"/>
      <c r="EH36" s="947"/>
      <c r="EI36" s="947"/>
      <c r="EJ36" s="947"/>
      <c r="EK36" s="947"/>
      <c r="EL36" s="947"/>
      <c r="EW36" s="1020"/>
      <c r="EX36" s="938">
        <f t="shared" si="2"/>
        <v>1166486.7206249998</v>
      </c>
      <c r="EY36" s="942">
        <f t="shared" si="3"/>
        <v>0.15</v>
      </c>
      <c r="EZ36" s="938">
        <f t="shared" si="4"/>
        <v>174973.00809374996</v>
      </c>
      <c r="FA36" s="938">
        <f t="shared" si="5"/>
        <v>10000</v>
      </c>
      <c r="FB36" s="938">
        <f t="shared" si="6"/>
        <v>164973.00809374996</v>
      </c>
      <c r="FC36" s="813">
        <f t="shared" si="40"/>
        <v>25</v>
      </c>
      <c r="FD36" s="814">
        <f t="shared" si="41"/>
        <v>6598.9203237499987</v>
      </c>
      <c r="FE36" s="942">
        <f t="shared" si="42"/>
        <v>0.85</v>
      </c>
      <c r="FF36" s="938">
        <f t="shared" si="43"/>
        <v>991513.71253124985</v>
      </c>
      <c r="FG36" s="940">
        <f t="shared" si="44"/>
        <v>8912.0055576093382</v>
      </c>
      <c r="FH36" s="940">
        <f t="shared" si="45"/>
        <v>11512.314928641541</v>
      </c>
      <c r="FI36" s="940">
        <f t="shared" si="46"/>
        <v>19633.159877310332</v>
      </c>
      <c r="FJ36" s="840"/>
      <c r="FK36" s="938">
        <f t="shared" si="58"/>
        <v>-158374.08776999995</v>
      </c>
      <c r="FN36" s="1030"/>
      <c r="FO36" s="1030"/>
      <c r="FP36" s="1030"/>
      <c r="FU36" s="1030"/>
      <c r="FV36" s="1030"/>
    </row>
    <row r="37" spans="1:178" s="1006" customFormat="1" ht="15" hidden="1" thickBot="1" x14ac:dyDescent="0.35">
      <c r="A37" s="1044">
        <f t="shared" si="47"/>
        <v>26</v>
      </c>
      <c r="B37" s="819"/>
      <c r="C37" s="1044" t="s">
        <v>373</v>
      </c>
      <c r="D37" s="819">
        <f t="shared" si="48"/>
        <v>26</v>
      </c>
      <c r="E37" s="1044" t="s">
        <v>374</v>
      </c>
      <c r="F37" s="1045" t="s">
        <v>499</v>
      </c>
      <c r="G37" s="1045" t="s">
        <v>375</v>
      </c>
      <c r="H37" s="1045">
        <v>13.5</v>
      </c>
      <c r="I37" s="1046">
        <v>52000</v>
      </c>
      <c r="J37" s="1005">
        <f t="shared" si="7"/>
        <v>702000</v>
      </c>
      <c r="K37" s="1005">
        <v>40000</v>
      </c>
      <c r="L37" s="1005">
        <v>30000</v>
      </c>
      <c r="M37" s="1005"/>
      <c r="N37" s="1005">
        <f t="shared" si="8"/>
        <v>772000</v>
      </c>
      <c r="O37" s="1005">
        <f t="shared" si="9"/>
        <v>19300</v>
      </c>
      <c r="P37" s="1005">
        <f t="shared" si="10"/>
        <v>791300</v>
      </c>
      <c r="Q37" s="1047">
        <f t="shared" si="11"/>
        <v>1.2500000000000001E-2</v>
      </c>
      <c r="R37" s="1005">
        <f t="shared" si="12"/>
        <v>9891.25</v>
      </c>
      <c r="S37" s="1048" t="s">
        <v>450</v>
      </c>
      <c r="T37" s="1048">
        <f t="shared" si="13"/>
        <v>801191.25</v>
      </c>
      <c r="U37" s="1048"/>
      <c r="V37" s="1048">
        <f t="shared" si="14"/>
        <v>30044.671875</v>
      </c>
      <c r="W37" s="1048">
        <f t="shared" si="15"/>
        <v>831235.921875</v>
      </c>
      <c r="X37" s="1048"/>
      <c r="Y37" s="1048">
        <f t="shared" si="16"/>
        <v>831235.921875</v>
      </c>
      <c r="Z37" s="1048"/>
      <c r="AA37" s="1048">
        <f t="shared" si="17"/>
        <v>831235.921875</v>
      </c>
      <c r="AB37" s="1048"/>
      <c r="AC37" s="1048">
        <f t="shared" si="18"/>
        <v>831235.921875</v>
      </c>
      <c r="AD37" s="1048"/>
      <c r="AE37" s="1048">
        <f t="shared" si="19"/>
        <v>831235.921875</v>
      </c>
      <c r="AF37" s="1048"/>
      <c r="AG37" s="1048">
        <f t="shared" si="20"/>
        <v>831235.921875</v>
      </c>
      <c r="AH37" s="1048"/>
      <c r="AI37" s="1048">
        <f t="shared" si="21"/>
        <v>831235.921875</v>
      </c>
      <c r="AJ37" s="1048"/>
      <c r="AK37" s="1048">
        <f t="shared" si="22"/>
        <v>831235.921875</v>
      </c>
      <c r="AL37" s="1048"/>
      <c r="AM37" s="1048">
        <f t="shared" si="23"/>
        <v>831235.921875</v>
      </c>
      <c r="AN37" s="1048"/>
      <c r="AO37" s="1048">
        <f t="shared" si="24"/>
        <v>831235.921875</v>
      </c>
      <c r="AP37" s="1048"/>
      <c r="AQ37" s="1000">
        <f t="shared" si="25"/>
        <v>831235.921875</v>
      </c>
      <c r="AR37" s="1048"/>
      <c r="AS37" s="1000">
        <f t="shared" si="26"/>
        <v>831235.921875</v>
      </c>
      <c r="AT37" s="1005">
        <f t="shared" si="27"/>
        <v>831235.921875</v>
      </c>
      <c r="AU37" s="1005">
        <f t="shared" si="28"/>
        <v>99748.310624999998</v>
      </c>
      <c r="AV37" s="1005">
        <f t="shared" si="29"/>
        <v>83123.592187500006</v>
      </c>
      <c r="AW37" s="1005">
        <f t="shared" si="57"/>
        <v>1014107.8246875</v>
      </c>
      <c r="AX37" s="1049">
        <v>0.15</v>
      </c>
      <c r="AY37" s="1005">
        <f t="shared" si="49"/>
        <v>152116.17370312501</v>
      </c>
      <c r="AZ37" s="1005">
        <v>10000</v>
      </c>
      <c r="BA37" s="1005">
        <f t="shared" si="50"/>
        <v>142116.17370312501</v>
      </c>
      <c r="BB37" s="1005">
        <f t="shared" si="30"/>
        <v>1</v>
      </c>
      <c r="BC37" s="1046">
        <f t="shared" si="51"/>
        <v>142116.17370312501</v>
      </c>
      <c r="BD37" s="1050">
        <f t="shared" si="31"/>
        <v>0.85</v>
      </c>
      <c r="BE37" s="1005">
        <f t="shared" si="52"/>
        <v>861991.65098437504</v>
      </c>
      <c r="BF37" s="1051">
        <f t="shared" si="32"/>
        <v>7747.8246514351467</v>
      </c>
      <c r="BG37" s="1051">
        <f t="shared" si="33"/>
        <v>10008.453969494676</v>
      </c>
      <c r="BH37" s="1051">
        <f t="shared" si="34"/>
        <v>17068.467821265294</v>
      </c>
      <c r="BJ37" s="821"/>
      <c r="BK37" s="821"/>
      <c r="BL37" s="910">
        <f t="shared" si="53"/>
        <v>45658</v>
      </c>
      <c r="BM37" s="911">
        <f t="shared" si="35"/>
        <v>15</v>
      </c>
      <c r="BN37" s="912"/>
      <c r="BO37" s="910">
        <f t="shared" si="36"/>
        <v>45723</v>
      </c>
      <c r="BP37" s="908">
        <f t="shared" si="37"/>
        <v>17</v>
      </c>
      <c r="BQ37" s="821"/>
      <c r="BR37" s="1007"/>
      <c r="BS37" s="821"/>
      <c r="BT37" s="821"/>
      <c r="BU37" s="821"/>
      <c r="BV37" s="821"/>
      <c r="BW37" s="821"/>
      <c r="BX37" s="821"/>
      <c r="BY37" s="821"/>
      <c r="BZ37" s="1007"/>
      <c r="CA37" s="1016" t="s">
        <v>262</v>
      </c>
      <c r="CB37" s="1021" t="s">
        <v>262</v>
      </c>
      <c r="CC37" s="1017" t="b">
        <f t="shared" si="38"/>
        <v>1</v>
      </c>
      <c r="CD37" s="695" t="s">
        <v>262</v>
      </c>
      <c r="CE37" s="1018" t="b">
        <f t="shared" si="39"/>
        <v>1</v>
      </c>
      <c r="CF37" s="695"/>
      <c r="CG37" s="1027"/>
      <c r="CH37" s="1028"/>
      <c r="EC37" s="695"/>
      <c r="ED37" s="947"/>
      <c r="EE37" s="695"/>
      <c r="EF37" s="947"/>
      <c r="EG37" s="947"/>
      <c r="EH37" s="947"/>
      <c r="EI37" s="947"/>
      <c r="EJ37" s="947"/>
      <c r="EK37" s="947"/>
      <c r="EL37" s="947"/>
      <c r="EW37" s="1029"/>
      <c r="EX37" s="938">
        <f t="shared" si="2"/>
        <v>1014107.8246875</v>
      </c>
      <c r="EY37" s="942">
        <f t="shared" si="3"/>
        <v>0.15</v>
      </c>
      <c r="EZ37" s="938">
        <f t="shared" si="4"/>
        <v>152116.17370312501</v>
      </c>
      <c r="FA37" s="938">
        <f t="shared" si="5"/>
        <v>10000</v>
      </c>
      <c r="FB37" s="938">
        <f t="shared" si="6"/>
        <v>142116.17370312501</v>
      </c>
      <c r="FC37" s="813">
        <f t="shared" si="40"/>
        <v>25</v>
      </c>
      <c r="FD37" s="814">
        <f t="shared" si="41"/>
        <v>5684.6469481250006</v>
      </c>
      <c r="FE37" s="942">
        <f t="shared" si="42"/>
        <v>0.85</v>
      </c>
      <c r="FF37" s="938">
        <f t="shared" si="43"/>
        <v>861991.65098437504</v>
      </c>
      <c r="FG37" s="940">
        <f t="shared" si="44"/>
        <v>7747.8246514351467</v>
      </c>
      <c r="FH37" s="940">
        <f t="shared" si="45"/>
        <v>10008.453969494676</v>
      </c>
      <c r="FI37" s="940">
        <f t="shared" si="46"/>
        <v>17068.467821265294</v>
      </c>
      <c r="FJ37" s="841"/>
      <c r="FK37" s="938">
        <f t="shared" si="58"/>
        <v>-136431.526755</v>
      </c>
      <c r="FN37" s="1030"/>
      <c r="FO37" s="1030"/>
      <c r="FP37" s="1030"/>
      <c r="FU37" s="1030"/>
      <c r="FV37" s="1030"/>
    </row>
    <row r="38" spans="1:178" s="717" customFormat="1" ht="14.5" x14ac:dyDescent="0.3">
      <c r="A38" s="813">
        <f t="shared" si="47"/>
        <v>27</v>
      </c>
      <c r="B38" s="822"/>
      <c r="C38" s="813" t="s">
        <v>376</v>
      </c>
      <c r="D38" s="822">
        <v>1</v>
      </c>
      <c r="E38" s="813" t="s">
        <v>374</v>
      </c>
      <c r="F38" s="575" t="s">
        <v>500</v>
      </c>
      <c r="G38" s="575" t="s">
        <v>375</v>
      </c>
      <c r="H38" s="575">
        <v>13.5</v>
      </c>
      <c r="I38" s="814">
        <v>52000</v>
      </c>
      <c r="J38" s="815">
        <f t="shared" si="7"/>
        <v>702000</v>
      </c>
      <c r="K38" s="815">
        <v>40000</v>
      </c>
      <c r="L38" s="815">
        <v>50000</v>
      </c>
      <c r="M38" s="815"/>
      <c r="N38" s="815">
        <f t="shared" si="8"/>
        <v>792000</v>
      </c>
      <c r="O38" s="815">
        <f t="shared" si="9"/>
        <v>19800</v>
      </c>
      <c r="P38" s="815">
        <f t="shared" si="10"/>
        <v>811800</v>
      </c>
      <c r="Q38" s="948">
        <f t="shared" si="11"/>
        <v>1.2500000000000001E-2</v>
      </c>
      <c r="R38" s="815">
        <f t="shared" si="12"/>
        <v>10147.5</v>
      </c>
      <c r="S38" s="955">
        <v>747.77850000000001</v>
      </c>
      <c r="T38" s="955">
        <f t="shared" si="13"/>
        <v>822695.27850000001</v>
      </c>
      <c r="U38" s="955"/>
      <c r="V38" s="955">
        <f t="shared" si="14"/>
        <v>30851.072943749998</v>
      </c>
      <c r="W38" s="955">
        <f t="shared" si="15"/>
        <v>853546.35144374997</v>
      </c>
      <c r="X38" s="955"/>
      <c r="Y38" s="955">
        <f t="shared" si="16"/>
        <v>853546.35144374997</v>
      </c>
      <c r="Z38" s="955"/>
      <c r="AA38" s="955">
        <f t="shared" si="17"/>
        <v>853546.35144374997</v>
      </c>
      <c r="AB38" s="955"/>
      <c r="AC38" s="955">
        <f t="shared" si="18"/>
        <v>853546.35144374997</v>
      </c>
      <c r="AD38" s="955"/>
      <c r="AE38" s="955">
        <f t="shared" si="19"/>
        <v>853546.35144374997</v>
      </c>
      <c r="AF38" s="955"/>
      <c r="AG38" s="955">
        <f t="shared" si="20"/>
        <v>853546.35144374997</v>
      </c>
      <c r="AH38" s="955"/>
      <c r="AI38" s="955">
        <f t="shared" si="21"/>
        <v>853546.35144374997</v>
      </c>
      <c r="AJ38" s="955"/>
      <c r="AK38" s="955">
        <f t="shared" si="22"/>
        <v>853546.35144374997</v>
      </c>
      <c r="AL38" s="955"/>
      <c r="AM38" s="955">
        <f t="shared" si="23"/>
        <v>853546.35144374997</v>
      </c>
      <c r="AN38" s="955"/>
      <c r="AO38" s="1000">
        <f t="shared" si="24"/>
        <v>853546.35144374997</v>
      </c>
      <c r="AP38" s="1000"/>
      <c r="AQ38" s="1000">
        <f t="shared" si="25"/>
        <v>853546.35144374997</v>
      </c>
      <c r="AR38" s="1000"/>
      <c r="AS38" s="1000">
        <f t="shared" si="26"/>
        <v>853546.35144374997</v>
      </c>
      <c r="AT38" s="815">
        <f t="shared" si="27"/>
        <v>853546.35144374997</v>
      </c>
      <c r="AU38" s="815">
        <f t="shared" si="28"/>
        <v>102425.56217324999</v>
      </c>
      <c r="AV38" s="815">
        <f t="shared" si="29"/>
        <v>85354.635144375003</v>
      </c>
      <c r="AW38" s="815">
        <f t="shared" si="57"/>
        <v>1041326.548761375</v>
      </c>
      <c r="AX38" s="816">
        <v>0.15</v>
      </c>
      <c r="AY38" s="815">
        <f t="shared" si="49"/>
        <v>156198.98231420625</v>
      </c>
      <c r="AZ38" s="815">
        <v>10000</v>
      </c>
      <c r="BA38" s="815">
        <f t="shared" si="50"/>
        <v>146198.98231420625</v>
      </c>
      <c r="BB38" s="815">
        <f>$BB$8</f>
        <v>18</v>
      </c>
      <c r="BC38" s="814">
        <f t="shared" si="51"/>
        <v>8122.1656841225695</v>
      </c>
      <c r="BD38" s="817">
        <f t="shared" si="31"/>
        <v>0.85</v>
      </c>
      <c r="BE38" s="815">
        <f t="shared" si="52"/>
        <v>885127.56644716871</v>
      </c>
      <c r="BF38" s="833">
        <f t="shared" si="32"/>
        <v>7955.7768003352539</v>
      </c>
      <c r="BG38" s="833">
        <f t="shared" si="33"/>
        <v>10277.081565466236</v>
      </c>
      <c r="BH38" s="833">
        <f t="shared" si="34"/>
        <v>17526.586676756811</v>
      </c>
      <c r="BJ38" s="818"/>
      <c r="BK38" s="818"/>
      <c r="BL38" s="913">
        <v>45839</v>
      </c>
      <c r="BM38" s="914">
        <f t="shared" si="35"/>
        <v>21</v>
      </c>
      <c r="BN38" s="909"/>
      <c r="BO38" s="913">
        <f t="shared" si="36"/>
        <v>45904</v>
      </c>
      <c r="BP38" s="914">
        <f>(YEAR(BO38)-YEAR($BM$10))*12+MONTH(BO38)-MONTH($BM$10)+$BP$8</f>
        <v>23</v>
      </c>
      <c r="BQ38" s="818"/>
      <c r="BR38" s="818"/>
      <c r="BS38" s="818"/>
      <c r="BT38" s="818"/>
      <c r="BU38" s="818"/>
      <c r="BV38" s="818"/>
      <c r="BW38" s="818"/>
      <c r="BX38" s="818"/>
      <c r="BY38" s="818"/>
      <c r="BZ38" s="818"/>
      <c r="CA38" s="968" t="s">
        <v>263</v>
      </c>
      <c r="CB38" s="812" t="s">
        <v>263</v>
      </c>
      <c r="CC38" s="832" t="b">
        <f t="shared" si="38"/>
        <v>1</v>
      </c>
      <c r="CD38" s="717" t="s">
        <v>263</v>
      </c>
      <c r="CE38" s="949" t="b">
        <f t="shared" si="39"/>
        <v>1</v>
      </c>
      <c r="CG38" s="842"/>
      <c r="CH38" s="878"/>
      <c r="ED38" s="947"/>
      <c r="EF38" s="947"/>
      <c r="EG38" s="947"/>
      <c r="EH38" s="947"/>
      <c r="EI38" s="947"/>
      <c r="EJ38" s="947"/>
      <c r="EK38" s="947"/>
      <c r="EL38" s="947"/>
      <c r="EW38" s="840"/>
      <c r="EX38" s="938">
        <f t="shared" si="2"/>
        <v>1041326.548761375</v>
      </c>
      <c r="EY38" s="942">
        <f t="shared" si="3"/>
        <v>0.15</v>
      </c>
      <c r="EZ38" s="938">
        <f t="shared" si="4"/>
        <v>156198.98231420625</v>
      </c>
      <c r="FA38" s="938">
        <f t="shared" si="5"/>
        <v>10000</v>
      </c>
      <c r="FB38" s="938">
        <f t="shared" si="6"/>
        <v>146198.98231420625</v>
      </c>
      <c r="FC38" s="813">
        <f>$FC$8</f>
        <v>33</v>
      </c>
      <c r="FD38" s="814">
        <f t="shared" si="41"/>
        <v>4430.2721913395835</v>
      </c>
      <c r="FE38" s="942">
        <f t="shared" si="42"/>
        <v>0.85</v>
      </c>
      <c r="FF38" s="938">
        <f t="shared" si="43"/>
        <v>885127.56644716871</v>
      </c>
      <c r="FG38" s="940">
        <f t="shared" si="44"/>
        <v>7955.7768003352539</v>
      </c>
      <c r="FH38" s="940">
        <f t="shared" si="45"/>
        <v>10277.081565466236</v>
      </c>
      <c r="FI38" s="940">
        <f t="shared" si="46"/>
        <v>17526.586676756811</v>
      </c>
      <c r="FJ38" s="840"/>
      <c r="FK38" s="938">
        <f t="shared" si="58"/>
        <v>-3691.893492782986</v>
      </c>
      <c r="FN38" s="957"/>
      <c r="FO38" s="957"/>
      <c r="FP38" s="957"/>
      <c r="FU38" s="957"/>
      <c r="FV38" s="957"/>
    </row>
    <row r="39" spans="1:178" s="717" customFormat="1" ht="14.5" hidden="1" x14ac:dyDescent="0.3">
      <c r="A39" s="1079">
        <f t="shared" si="47"/>
        <v>28</v>
      </c>
      <c r="B39" s="813"/>
      <c r="C39" s="1079" t="s">
        <v>376</v>
      </c>
      <c r="D39" s="813">
        <f>D38+1</f>
        <v>2</v>
      </c>
      <c r="E39" s="1079" t="s">
        <v>374</v>
      </c>
      <c r="F39" s="1080" t="s">
        <v>501</v>
      </c>
      <c r="G39" s="1081" t="s">
        <v>375</v>
      </c>
      <c r="H39" s="1080">
        <v>13.5</v>
      </c>
      <c r="I39" s="1082">
        <v>52000</v>
      </c>
      <c r="J39" s="1055">
        <f t="shared" si="7"/>
        <v>702000</v>
      </c>
      <c r="K39" s="1055">
        <v>40000</v>
      </c>
      <c r="L39" s="1055">
        <v>50000</v>
      </c>
      <c r="M39" s="1055"/>
      <c r="N39" s="1055">
        <f t="shared" si="8"/>
        <v>792000</v>
      </c>
      <c r="O39" s="1055">
        <f t="shared" si="9"/>
        <v>19800</v>
      </c>
      <c r="P39" s="1055">
        <f t="shared" si="10"/>
        <v>811800</v>
      </c>
      <c r="Q39" s="1083">
        <f t="shared" si="11"/>
        <v>1.2500000000000001E-2</v>
      </c>
      <c r="R39" s="1055">
        <f t="shared" si="12"/>
        <v>10147.5</v>
      </c>
      <c r="S39" s="1084" t="s">
        <v>450</v>
      </c>
      <c r="T39" s="1084">
        <f t="shared" si="13"/>
        <v>821947.5</v>
      </c>
      <c r="U39" s="1084"/>
      <c r="V39" s="1084">
        <f t="shared" si="14"/>
        <v>30823.03125</v>
      </c>
      <c r="W39" s="1084">
        <f t="shared" si="15"/>
        <v>852770.53125</v>
      </c>
      <c r="X39" s="1084"/>
      <c r="Y39" s="1084">
        <f t="shared" si="16"/>
        <v>852770.53125</v>
      </c>
      <c r="Z39" s="1084"/>
      <c r="AA39" s="1084">
        <f t="shared" si="17"/>
        <v>852770.53125</v>
      </c>
      <c r="AB39" s="1084"/>
      <c r="AC39" s="1084">
        <f t="shared" si="18"/>
        <v>852770.53125</v>
      </c>
      <c r="AD39" s="1084"/>
      <c r="AE39" s="1084">
        <f t="shared" si="19"/>
        <v>852770.53125</v>
      </c>
      <c r="AF39" s="1084"/>
      <c r="AG39" s="1084">
        <f t="shared" si="20"/>
        <v>852770.53125</v>
      </c>
      <c r="AH39" s="1084"/>
      <c r="AI39" s="1084">
        <f t="shared" si="21"/>
        <v>852770.53125</v>
      </c>
      <c r="AJ39" s="1084"/>
      <c r="AK39" s="1084">
        <f t="shared" si="22"/>
        <v>852770.53125</v>
      </c>
      <c r="AL39" s="1084"/>
      <c r="AM39" s="1084">
        <f t="shared" si="23"/>
        <v>852770.53125</v>
      </c>
      <c r="AN39" s="1084"/>
      <c r="AO39" s="1084">
        <f t="shared" si="24"/>
        <v>852770.53125</v>
      </c>
      <c r="AP39" s="1084"/>
      <c r="AQ39" s="1000">
        <f t="shared" si="25"/>
        <v>852770.53125</v>
      </c>
      <c r="AR39" s="1084"/>
      <c r="AS39" s="1000">
        <f t="shared" si="26"/>
        <v>852770.53125</v>
      </c>
      <c r="AT39" s="1055">
        <f t="shared" si="27"/>
        <v>852770.53125</v>
      </c>
      <c r="AU39" s="1055">
        <f t="shared" si="28"/>
        <v>102332.46375</v>
      </c>
      <c r="AV39" s="1055">
        <f t="shared" si="29"/>
        <v>85277.053125000006</v>
      </c>
      <c r="AW39" s="1055">
        <f t="shared" si="57"/>
        <v>1040380.048125</v>
      </c>
      <c r="AX39" s="1085">
        <v>0.15</v>
      </c>
      <c r="AY39" s="1055">
        <f t="shared" si="49"/>
        <v>156057.00721874999</v>
      </c>
      <c r="AZ39" s="1055">
        <v>10000</v>
      </c>
      <c r="BA39" s="1055">
        <f t="shared" si="50"/>
        <v>146057.00721874999</v>
      </c>
      <c r="BB39" s="1055">
        <f t="shared" ref="BB39:BB64" si="60">$BB$8</f>
        <v>18</v>
      </c>
      <c r="BC39" s="1082">
        <f t="shared" si="51"/>
        <v>8114.2781788194443</v>
      </c>
      <c r="BD39" s="1086">
        <f t="shared" si="31"/>
        <v>0.85</v>
      </c>
      <c r="BE39" s="1055">
        <f t="shared" si="52"/>
        <v>884323.04090625001</v>
      </c>
      <c r="BF39" s="1087">
        <f t="shared" si="32"/>
        <v>7948.5454973272472</v>
      </c>
      <c r="BG39" s="1087">
        <f t="shared" si="33"/>
        <v>10267.740341761377</v>
      </c>
      <c r="BH39" s="1087">
        <f t="shared" si="34"/>
        <v>17510.656106790302</v>
      </c>
      <c r="BJ39" s="818"/>
      <c r="BK39" s="818"/>
      <c r="BL39" s="907">
        <f>$BL$38</f>
        <v>45839</v>
      </c>
      <c r="BM39" s="908">
        <f t="shared" si="35"/>
        <v>21</v>
      </c>
      <c r="BN39" s="909"/>
      <c r="BO39" s="907">
        <f t="shared" si="36"/>
        <v>45904</v>
      </c>
      <c r="BP39" s="914">
        <f t="shared" ref="BP39:BP64" si="61">(YEAR(BO39)-YEAR($BM$10))*12+MONTH(BO39)-MONTH($BM$10)+$BP$8</f>
        <v>23</v>
      </c>
      <c r="BQ39" s="818"/>
      <c r="BR39" s="818"/>
      <c r="BS39" s="818"/>
      <c r="BT39" s="818"/>
      <c r="BU39" s="818"/>
      <c r="BV39" s="818"/>
      <c r="BW39" s="818"/>
      <c r="BX39" s="818"/>
      <c r="BY39" s="818"/>
      <c r="BZ39" s="818"/>
      <c r="CA39" s="968" t="s">
        <v>262</v>
      </c>
      <c r="CB39" s="812" t="s">
        <v>262</v>
      </c>
      <c r="CC39" s="832" t="b">
        <f t="shared" si="38"/>
        <v>1</v>
      </c>
      <c r="CD39" s="717" t="s">
        <v>262</v>
      </c>
      <c r="CE39" s="949" t="b">
        <f t="shared" si="39"/>
        <v>1</v>
      </c>
      <c r="CG39" s="842"/>
      <c r="CH39" s="878"/>
      <c r="ED39" s="947"/>
      <c r="EF39" s="947"/>
      <c r="EG39" s="947"/>
      <c r="EH39" s="947"/>
      <c r="EI39" s="947"/>
      <c r="EJ39" s="947"/>
      <c r="EK39" s="947"/>
      <c r="EL39" s="947"/>
      <c r="EW39" s="840"/>
      <c r="EX39" s="938">
        <f t="shared" si="2"/>
        <v>1040380.048125</v>
      </c>
      <c r="EY39" s="942">
        <f t="shared" si="3"/>
        <v>0.15</v>
      </c>
      <c r="EZ39" s="938">
        <f t="shared" si="4"/>
        <v>156057.00721874999</v>
      </c>
      <c r="FA39" s="938">
        <f t="shared" si="5"/>
        <v>10000</v>
      </c>
      <c r="FB39" s="938">
        <f t="shared" si="6"/>
        <v>146057.00721874999</v>
      </c>
      <c r="FC39" s="813">
        <f t="shared" ref="FC39:FC64" si="62">$FC$8</f>
        <v>33</v>
      </c>
      <c r="FD39" s="814">
        <f t="shared" si="41"/>
        <v>4425.9699157196965</v>
      </c>
      <c r="FE39" s="942">
        <f t="shared" si="42"/>
        <v>0.85</v>
      </c>
      <c r="FF39" s="938">
        <f t="shared" si="43"/>
        <v>884323.04090625001</v>
      </c>
      <c r="FG39" s="940">
        <f t="shared" si="44"/>
        <v>7948.5454973272472</v>
      </c>
      <c r="FH39" s="940">
        <f t="shared" si="45"/>
        <v>10267.740341761377</v>
      </c>
      <c r="FI39" s="940">
        <f t="shared" si="46"/>
        <v>17510.656106790302</v>
      </c>
      <c r="FJ39" s="840"/>
      <c r="FK39" s="938">
        <f t="shared" si="58"/>
        <v>-3688.3082630997478</v>
      </c>
      <c r="FN39" s="957"/>
      <c r="FO39" s="957"/>
      <c r="FP39" s="957"/>
      <c r="FU39" s="957"/>
      <c r="FV39" s="957"/>
    </row>
    <row r="40" spans="1:178" s="717" customFormat="1" ht="14.5" x14ac:dyDescent="0.3">
      <c r="A40" s="813">
        <f t="shared" si="47"/>
        <v>29</v>
      </c>
      <c r="B40" s="813"/>
      <c r="C40" s="813" t="s">
        <v>376</v>
      </c>
      <c r="D40" s="813">
        <f t="shared" ref="D40:D64" si="63">D39+1</f>
        <v>3</v>
      </c>
      <c r="E40" s="813" t="s">
        <v>374</v>
      </c>
      <c r="F40" s="575" t="s">
        <v>502</v>
      </c>
      <c r="G40" s="575" t="s">
        <v>377</v>
      </c>
      <c r="H40" s="575">
        <v>13.5</v>
      </c>
      <c r="I40" s="814">
        <v>52000</v>
      </c>
      <c r="J40" s="815">
        <f t="shared" si="7"/>
        <v>702000</v>
      </c>
      <c r="K40" s="815">
        <v>40000</v>
      </c>
      <c r="L40" s="815"/>
      <c r="M40" s="815"/>
      <c r="N40" s="815">
        <f t="shared" si="8"/>
        <v>742000</v>
      </c>
      <c r="O40" s="815">
        <f t="shared" si="9"/>
        <v>18550</v>
      </c>
      <c r="P40" s="815">
        <f t="shared" si="10"/>
        <v>760550</v>
      </c>
      <c r="Q40" s="948">
        <f t="shared" si="11"/>
        <v>1.2500000000000001E-2</v>
      </c>
      <c r="R40" s="815">
        <f t="shared" si="12"/>
        <v>9506.875</v>
      </c>
      <c r="S40" s="955">
        <v>747.77850000000001</v>
      </c>
      <c r="T40" s="955">
        <f t="shared" si="13"/>
        <v>770804.65350000001</v>
      </c>
      <c r="U40" s="955"/>
      <c r="V40" s="955">
        <f t="shared" si="14"/>
        <v>28905.174506250001</v>
      </c>
      <c r="W40" s="955">
        <f t="shared" si="15"/>
        <v>799709.82800624997</v>
      </c>
      <c r="X40" s="955"/>
      <c r="Y40" s="955">
        <f t="shared" si="16"/>
        <v>799709.82800624997</v>
      </c>
      <c r="Z40" s="955"/>
      <c r="AA40" s="955">
        <f t="shared" si="17"/>
        <v>799709.82800624997</v>
      </c>
      <c r="AB40" s="955"/>
      <c r="AC40" s="955">
        <f t="shared" si="18"/>
        <v>799709.82800624997</v>
      </c>
      <c r="AD40" s="955"/>
      <c r="AE40" s="955">
        <f t="shared" si="19"/>
        <v>799709.82800624997</v>
      </c>
      <c r="AF40" s="955"/>
      <c r="AG40" s="955">
        <f t="shared" si="20"/>
        <v>799709.82800624997</v>
      </c>
      <c r="AH40" s="955"/>
      <c r="AI40" s="955">
        <f t="shared" si="21"/>
        <v>799709.82800624997</v>
      </c>
      <c r="AJ40" s="955"/>
      <c r="AK40" s="955">
        <f t="shared" si="22"/>
        <v>799709.82800624997</v>
      </c>
      <c r="AL40" s="955"/>
      <c r="AM40" s="955">
        <f t="shared" si="23"/>
        <v>799709.82800624997</v>
      </c>
      <c r="AN40" s="955"/>
      <c r="AO40" s="1000">
        <f t="shared" si="24"/>
        <v>799709.82800624997</v>
      </c>
      <c r="AP40" s="1000"/>
      <c r="AQ40" s="1000">
        <f t="shared" si="25"/>
        <v>799709.82800624997</v>
      </c>
      <c r="AR40" s="1000"/>
      <c r="AS40" s="1000">
        <f t="shared" si="26"/>
        <v>799709.82800624997</v>
      </c>
      <c r="AT40" s="815">
        <f t="shared" si="27"/>
        <v>799709.82800624997</v>
      </c>
      <c r="AU40" s="815">
        <f t="shared" si="28"/>
        <v>95965.179360749986</v>
      </c>
      <c r="AV40" s="815">
        <f t="shared" si="29"/>
        <v>79970.982800625003</v>
      </c>
      <c r="AW40" s="815">
        <f t="shared" si="57"/>
        <v>975645.99016762502</v>
      </c>
      <c r="AX40" s="816">
        <v>0.15</v>
      </c>
      <c r="AY40" s="815">
        <f t="shared" si="49"/>
        <v>146346.89852514374</v>
      </c>
      <c r="AZ40" s="815">
        <v>10000</v>
      </c>
      <c r="BA40" s="815">
        <f t="shared" si="50"/>
        <v>136346.89852514374</v>
      </c>
      <c r="BB40" s="815">
        <f t="shared" si="60"/>
        <v>18</v>
      </c>
      <c r="BC40" s="814">
        <f t="shared" si="51"/>
        <v>7574.8276958413189</v>
      </c>
      <c r="BD40" s="817">
        <f t="shared" si="31"/>
        <v>0.85</v>
      </c>
      <c r="BE40" s="815">
        <f t="shared" si="52"/>
        <v>829299.09164248127</v>
      </c>
      <c r="BF40" s="833">
        <f t="shared" si="32"/>
        <v>7453.9746856049978</v>
      </c>
      <c r="BG40" s="833">
        <f t="shared" si="33"/>
        <v>9628.8656347994838</v>
      </c>
      <c r="BH40" s="833">
        <f t="shared" si="34"/>
        <v>16421.115962944295</v>
      </c>
      <c r="BJ40" s="818"/>
      <c r="BK40" s="818"/>
      <c r="BL40" s="907">
        <f t="shared" ref="BL40:BL64" si="64">$BL$38</f>
        <v>45839</v>
      </c>
      <c r="BM40" s="908">
        <f t="shared" si="35"/>
        <v>21</v>
      </c>
      <c r="BN40" s="909"/>
      <c r="BO40" s="907">
        <f t="shared" si="36"/>
        <v>45904</v>
      </c>
      <c r="BP40" s="914">
        <f t="shared" si="61"/>
        <v>23</v>
      </c>
      <c r="BQ40" s="818"/>
      <c r="BR40" s="818"/>
      <c r="BS40" s="818"/>
      <c r="BT40" s="818"/>
      <c r="BU40" s="818"/>
      <c r="BV40" s="818"/>
      <c r="BW40" s="818"/>
      <c r="BX40" s="818"/>
      <c r="BY40" s="818"/>
      <c r="BZ40" s="818"/>
      <c r="CA40" s="968" t="s">
        <v>263</v>
      </c>
      <c r="CB40" s="812" t="s">
        <v>263</v>
      </c>
      <c r="CC40" s="832" t="b">
        <f t="shared" si="38"/>
        <v>1</v>
      </c>
      <c r="CD40" s="717" t="s">
        <v>263</v>
      </c>
      <c r="CE40" s="949" t="b">
        <f t="shared" si="39"/>
        <v>1</v>
      </c>
      <c r="CG40" s="842"/>
      <c r="CH40" s="878"/>
      <c r="ED40" s="947"/>
      <c r="EF40" s="947"/>
      <c r="EG40" s="947"/>
      <c r="EH40" s="947"/>
      <c r="EI40" s="947"/>
      <c r="EJ40" s="947"/>
      <c r="EK40" s="947"/>
      <c r="EL40" s="947"/>
      <c r="EW40" s="840"/>
      <c r="EX40" s="938">
        <f t="shared" si="2"/>
        <v>975645.99016762502</v>
      </c>
      <c r="EY40" s="942">
        <f t="shared" si="3"/>
        <v>0.15</v>
      </c>
      <c r="EZ40" s="938">
        <f t="shared" si="4"/>
        <v>146346.89852514374</v>
      </c>
      <c r="FA40" s="938">
        <f t="shared" si="5"/>
        <v>10000</v>
      </c>
      <c r="FB40" s="938">
        <f t="shared" si="6"/>
        <v>136346.89852514374</v>
      </c>
      <c r="FC40" s="813">
        <f t="shared" si="62"/>
        <v>33</v>
      </c>
      <c r="FD40" s="814">
        <f t="shared" si="41"/>
        <v>4131.7241977316289</v>
      </c>
      <c r="FE40" s="942">
        <f t="shared" si="42"/>
        <v>0.85</v>
      </c>
      <c r="FF40" s="938">
        <f t="shared" si="43"/>
        <v>829299.09164248127</v>
      </c>
      <c r="FG40" s="940">
        <f t="shared" si="44"/>
        <v>7453.9746856049978</v>
      </c>
      <c r="FH40" s="940">
        <f t="shared" si="45"/>
        <v>9628.8656347994838</v>
      </c>
      <c r="FI40" s="940">
        <f t="shared" si="46"/>
        <v>16421.115962944295</v>
      </c>
      <c r="FJ40" s="840"/>
      <c r="FK40" s="938">
        <f t="shared" si="58"/>
        <v>-3443.10349810969</v>
      </c>
      <c r="FN40" s="957"/>
      <c r="FO40" s="957"/>
      <c r="FP40" s="957"/>
      <c r="FU40" s="957"/>
      <c r="FV40" s="957"/>
    </row>
    <row r="41" spans="1:178" s="717" customFormat="1" ht="14.5" x14ac:dyDescent="0.3">
      <c r="A41" s="813">
        <f t="shared" si="47"/>
        <v>30</v>
      </c>
      <c r="B41" s="813"/>
      <c r="C41" s="813" t="s">
        <v>376</v>
      </c>
      <c r="D41" s="813">
        <f t="shared" si="63"/>
        <v>4</v>
      </c>
      <c r="E41" s="813" t="s">
        <v>374</v>
      </c>
      <c r="F41" s="575" t="s">
        <v>503</v>
      </c>
      <c r="G41" s="575" t="s">
        <v>377</v>
      </c>
      <c r="H41" s="575">
        <v>13.5</v>
      </c>
      <c r="I41" s="814">
        <v>52000</v>
      </c>
      <c r="J41" s="815">
        <f t="shared" si="7"/>
        <v>702000</v>
      </c>
      <c r="K41" s="815">
        <v>40000</v>
      </c>
      <c r="L41" s="815"/>
      <c r="M41" s="815"/>
      <c r="N41" s="815">
        <f t="shared" si="8"/>
        <v>742000</v>
      </c>
      <c r="O41" s="815">
        <f t="shared" si="9"/>
        <v>18550</v>
      </c>
      <c r="P41" s="815">
        <f t="shared" si="10"/>
        <v>760550</v>
      </c>
      <c r="Q41" s="948">
        <f t="shared" si="11"/>
        <v>1.2500000000000001E-2</v>
      </c>
      <c r="R41" s="815">
        <f t="shared" si="12"/>
        <v>9506.875</v>
      </c>
      <c r="S41" s="955">
        <v>747.77850000000001</v>
      </c>
      <c r="T41" s="955">
        <f t="shared" si="13"/>
        <v>770804.65350000001</v>
      </c>
      <c r="U41" s="955"/>
      <c r="V41" s="955">
        <f t="shared" si="14"/>
        <v>28905.174506250001</v>
      </c>
      <c r="W41" s="955">
        <f t="shared" si="15"/>
        <v>799709.82800624997</v>
      </c>
      <c r="X41" s="955"/>
      <c r="Y41" s="955">
        <f t="shared" si="16"/>
        <v>799709.82800624997</v>
      </c>
      <c r="Z41" s="955"/>
      <c r="AA41" s="955">
        <f t="shared" si="17"/>
        <v>799709.82800624997</v>
      </c>
      <c r="AB41" s="955"/>
      <c r="AC41" s="955">
        <f t="shared" si="18"/>
        <v>799709.82800624997</v>
      </c>
      <c r="AD41" s="955"/>
      <c r="AE41" s="955">
        <f t="shared" si="19"/>
        <v>799709.82800624997</v>
      </c>
      <c r="AF41" s="955"/>
      <c r="AG41" s="955">
        <f t="shared" si="20"/>
        <v>799709.82800624997</v>
      </c>
      <c r="AH41" s="955"/>
      <c r="AI41" s="955">
        <f t="shared" si="21"/>
        <v>799709.82800624997</v>
      </c>
      <c r="AJ41" s="955"/>
      <c r="AK41" s="955">
        <f t="shared" si="22"/>
        <v>799709.82800624997</v>
      </c>
      <c r="AL41" s="955"/>
      <c r="AM41" s="955">
        <f t="shared" si="23"/>
        <v>799709.82800624997</v>
      </c>
      <c r="AN41" s="955"/>
      <c r="AO41" s="1000">
        <f t="shared" si="24"/>
        <v>799709.82800624997</v>
      </c>
      <c r="AP41" s="1000"/>
      <c r="AQ41" s="1000">
        <f t="shared" si="25"/>
        <v>799709.82800624997</v>
      </c>
      <c r="AR41" s="1000"/>
      <c r="AS41" s="1000">
        <f t="shared" si="26"/>
        <v>799709.82800624997</v>
      </c>
      <c r="AT41" s="815">
        <f t="shared" si="27"/>
        <v>799709.82800624997</v>
      </c>
      <c r="AU41" s="815">
        <f t="shared" si="28"/>
        <v>95965.179360749986</v>
      </c>
      <c r="AV41" s="815">
        <f t="shared" si="29"/>
        <v>79970.982800625003</v>
      </c>
      <c r="AW41" s="815">
        <f t="shared" si="57"/>
        <v>975645.99016762502</v>
      </c>
      <c r="AX41" s="816">
        <v>0.15</v>
      </c>
      <c r="AY41" s="815">
        <f t="shared" si="49"/>
        <v>146346.89852514374</v>
      </c>
      <c r="AZ41" s="815">
        <v>10000</v>
      </c>
      <c r="BA41" s="815">
        <f t="shared" si="50"/>
        <v>136346.89852514374</v>
      </c>
      <c r="BB41" s="815">
        <f t="shared" si="60"/>
        <v>18</v>
      </c>
      <c r="BC41" s="814">
        <f t="shared" si="51"/>
        <v>7574.8276958413189</v>
      </c>
      <c r="BD41" s="817">
        <f t="shared" si="31"/>
        <v>0.85</v>
      </c>
      <c r="BE41" s="815">
        <f t="shared" si="52"/>
        <v>829299.09164248127</v>
      </c>
      <c r="BF41" s="833">
        <f t="shared" si="32"/>
        <v>7453.9746856049978</v>
      </c>
      <c r="BG41" s="833">
        <f t="shared" si="33"/>
        <v>9628.8656347994838</v>
      </c>
      <c r="BH41" s="833">
        <f t="shared" si="34"/>
        <v>16421.115962944295</v>
      </c>
      <c r="BJ41" s="818"/>
      <c r="BK41" s="818"/>
      <c r="BL41" s="907">
        <f t="shared" si="64"/>
        <v>45839</v>
      </c>
      <c r="BM41" s="908">
        <f t="shared" si="35"/>
        <v>21</v>
      </c>
      <c r="BN41" s="909"/>
      <c r="BO41" s="907">
        <f t="shared" si="36"/>
        <v>45904</v>
      </c>
      <c r="BP41" s="914">
        <f t="shared" si="61"/>
        <v>23</v>
      </c>
      <c r="BQ41" s="818"/>
      <c r="BR41" s="818"/>
      <c r="BS41" s="818"/>
      <c r="BT41" s="818"/>
      <c r="BU41" s="818"/>
      <c r="BV41" s="818"/>
      <c r="BW41" s="818"/>
      <c r="BX41" s="818"/>
      <c r="BY41" s="818"/>
      <c r="BZ41" s="818"/>
      <c r="CA41" s="968" t="s">
        <v>263</v>
      </c>
      <c r="CB41" s="812" t="s">
        <v>263</v>
      </c>
      <c r="CC41" s="832" t="b">
        <f t="shared" si="38"/>
        <v>1</v>
      </c>
      <c r="CD41" s="717" t="s">
        <v>263</v>
      </c>
      <c r="CE41" s="949" t="b">
        <f t="shared" si="39"/>
        <v>1</v>
      </c>
      <c r="CG41" s="842"/>
      <c r="CH41" s="878"/>
      <c r="ED41" s="947"/>
      <c r="EF41" s="947"/>
      <c r="EG41" s="947"/>
      <c r="EH41" s="947"/>
      <c r="EI41" s="947"/>
      <c r="EJ41" s="947"/>
      <c r="EK41" s="947"/>
      <c r="EL41" s="947"/>
      <c r="EW41" s="840"/>
      <c r="EX41" s="938">
        <f t="shared" si="2"/>
        <v>975645.99016762502</v>
      </c>
      <c r="EY41" s="942">
        <f t="shared" si="3"/>
        <v>0.15</v>
      </c>
      <c r="EZ41" s="938">
        <f t="shared" si="4"/>
        <v>146346.89852514374</v>
      </c>
      <c r="FA41" s="938">
        <f t="shared" si="5"/>
        <v>10000</v>
      </c>
      <c r="FB41" s="938">
        <f t="shared" si="6"/>
        <v>136346.89852514374</v>
      </c>
      <c r="FC41" s="813">
        <f t="shared" si="62"/>
        <v>33</v>
      </c>
      <c r="FD41" s="814">
        <f t="shared" si="41"/>
        <v>4131.7241977316289</v>
      </c>
      <c r="FE41" s="942">
        <f t="shared" si="42"/>
        <v>0.85</v>
      </c>
      <c r="FF41" s="938">
        <f t="shared" si="43"/>
        <v>829299.09164248127</v>
      </c>
      <c r="FG41" s="940">
        <f t="shared" si="44"/>
        <v>7453.9746856049978</v>
      </c>
      <c r="FH41" s="940">
        <f t="shared" si="45"/>
        <v>9628.8656347994838</v>
      </c>
      <c r="FI41" s="940">
        <f t="shared" si="46"/>
        <v>16421.115962944295</v>
      </c>
      <c r="FJ41" s="840"/>
      <c r="FK41" s="938">
        <f t="shared" si="58"/>
        <v>-3443.10349810969</v>
      </c>
      <c r="FN41" s="957"/>
      <c r="FO41" s="957"/>
      <c r="FP41" s="957"/>
      <c r="FU41" s="957"/>
      <c r="FV41" s="957"/>
    </row>
    <row r="42" spans="1:178" s="717" customFormat="1" ht="14.5" x14ac:dyDescent="0.3">
      <c r="A42" s="813">
        <f t="shared" si="47"/>
        <v>31</v>
      </c>
      <c r="B42" s="813"/>
      <c r="C42" s="813" t="s">
        <v>376</v>
      </c>
      <c r="D42" s="813">
        <f t="shared" si="63"/>
        <v>5</v>
      </c>
      <c r="E42" s="813" t="s">
        <v>374</v>
      </c>
      <c r="F42" s="575" t="s">
        <v>504</v>
      </c>
      <c r="G42" s="575" t="s">
        <v>377</v>
      </c>
      <c r="H42" s="575">
        <v>13.5</v>
      </c>
      <c r="I42" s="814">
        <v>52000</v>
      </c>
      <c r="J42" s="815">
        <f t="shared" si="7"/>
        <v>702000</v>
      </c>
      <c r="K42" s="815">
        <v>40000</v>
      </c>
      <c r="L42" s="815"/>
      <c r="M42" s="815"/>
      <c r="N42" s="815">
        <f t="shared" si="8"/>
        <v>742000</v>
      </c>
      <c r="O42" s="815">
        <f t="shared" si="9"/>
        <v>18550</v>
      </c>
      <c r="P42" s="815">
        <f t="shared" si="10"/>
        <v>760550</v>
      </c>
      <c r="Q42" s="948">
        <f t="shared" si="11"/>
        <v>1.2500000000000001E-2</v>
      </c>
      <c r="R42" s="815">
        <f t="shared" si="12"/>
        <v>9506.875</v>
      </c>
      <c r="S42" s="955">
        <v>747.77850000000001</v>
      </c>
      <c r="T42" s="955">
        <f t="shared" si="13"/>
        <v>770804.65350000001</v>
      </c>
      <c r="U42" s="955"/>
      <c r="V42" s="955">
        <f t="shared" si="14"/>
        <v>28905.174506250001</v>
      </c>
      <c r="W42" s="955">
        <f t="shared" si="15"/>
        <v>799709.82800624997</v>
      </c>
      <c r="X42" s="955"/>
      <c r="Y42" s="955">
        <f t="shared" si="16"/>
        <v>799709.82800624997</v>
      </c>
      <c r="Z42" s="955"/>
      <c r="AA42" s="955">
        <f t="shared" si="17"/>
        <v>799709.82800624997</v>
      </c>
      <c r="AB42" s="955"/>
      <c r="AC42" s="955">
        <f t="shared" si="18"/>
        <v>799709.82800624997</v>
      </c>
      <c r="AD42" s="955"/>
      <c r="AE42" s="955">
        <f t="shared" si="19"/>
        <v>799709.82800624997</v>
      </c>
      <c r="AF42" s="955"/>
      <c r="AG42" s="955">
        <f t="shared" si="20"/>
        <v>799709.82800624997</v>
      </c>
      <c r="AH42" s="955"/>
      <c r="AI42" s="955">
        <f t="shared" si="21"/>
        <v>799709.82800624997</v>
      </c>
      <c r="AJ42" s="955"/>
      <c r="AK42" s="955">
        <f t="shared" si="22"/>
        <v>799709.82800624997</v>
      </c>
      <c r="AL42" s="955"/>
      <c r="AM42" s="955">
        <f t="shared" si="23"/>
        <v>799709.82800624997</v>
      </c>
      <c r="AN42" s="955"/>
      <c r="AO42" s="1000">
        <f t="shared" si="24"/>
        <v>799709.82800624997</v>
      </c>
      <c r="AP42" s="1000"/>
      <c r="AQ42" s="1000">
        <f t="shared" si="25"/>
        <v>799709.82800624997</v>
      </c>
      <c r="AR42" s="1000"/>
      <c r="AS42" s="1000">
        <f t="shared" si="26"/>
        <v>799709.82800624997</v>
      </c>
      <c r="AT42" s="815">
        <f t="shared" si="27"/>
        <v>799709.82800624997</v>
      </c>
      <c r="AU42" s="815">
        <f t="shared" si="28"/>
        <v>95965.179360749986</v>
      </c>
      <c r="AV42" s="815">
        <f t="shared" si="29"/>
        <v>79970.982800625003</v>
      </c>
      <c r="AW42" s="815">
        <f t="shared" si="57"/>
        <v>975645.99016762502</v>
      </c>
      <c r="AX42" s="816">
        <v>0.15</v>
      </c>
      <c r="AY42" s="815">
        <f t="shared" si="49"/>
        <v>146346.89852514374</v>
      </c>
      <c r="AZ42" s="815">
        <v>10000</v>
      </c>
      <c r="BA42" s="815">
        <f t="shared" si="50"/>
        <v>136346.89852514374</v>
      </c>
      <c r="BB42" s="815">
        <f t="shared" si="60"/>
        <v>18</v>
      </c>
      <c r="BC42" s="814">
        <f t="shared" si="51"/>
        <v>7574.8276958413189</v>
      </c>
      <c r="BD42" s="817">
        <f t="shared" si="31"/>
        <v>0.85</v>
      </c>
      <c r="BE42" s="815">
        <f t="shared" si="52"/>
        <v>829299.09164248127</v>
      </c>
      <c r="BF42" s="833">
        <f t="shared" si="32"/>
        <v>7453.9746856049978</v>
      </c>
      <c r="BG42" s="833">
        <f t="shared" si="33"/>
        <v>9628.8656347994838</v>
      </c>
      <c r="BH42" s="833">
        <f t="shared" si="34"/>
        <v>16421.115962944295</v>
      </c>
      <c r="BJ42" s="818"/>
      <c r="BK42" s="818"/>
      <c r="BL42" s="907">
        <f t="shared" si="64"/>
        <v>45839</v>
      </c>
      <c r="BM42" s="908">
        <f t="shared" si="35"/>
        <v>21</v>
      </c>
      <c r="BN42" s="909"/>
      <c r="BO42" s="907">
        <f t="shared" si="36"/>
        <v>45904</v>
      </c>
      <c r="BP42" s="914">
        <f t="shared" si="61"/>
        <v>23</v>
      </c>
      <c r="BQ42" s="818"/>
      <c r="BR42" s="818"/>
      <c r="BS42" s="818"/>
      <c r="BT42" s="818"/>
      <c r="BU42" s="818"/>
      <c r="BV42" s="818"/>
      <c r="BW42" s="818"/>
      <c r="BX42" s="818"/>
      <c r="BY42" s="818"/>
      <c r="BZ42" s="818"/>
      <c r="CA42" s="968" t="s">
        <v>263</v>
      </c>
      <c r="CB42" s="812" t="s">
        <v>263</v>
      </c>
      <c r="CC42" s="832" t="b">
        <f t="shared" si="38"/>
        <v>1</v>
      </c>
      <c r="CD42" s="717" t="s">
        <v>263</v>
      </c>
      <c r="CE42" s="949" t="b">
        <f t="shared" si="39"/>
        <v>1</v>
      </c>
      <c r="CG42" s="842"/>
      <c r="CH42" s="878"/>
      <c r="ED42" s="947"/>
      <c r="EF42" s="947"/>
      <c r="EG42" s="947"/>
      <c r="EH42" s="947"/>
      <c r="EI42" s="947"/>
      <c r="EJ42" s="947"/>
      <c r="EK42" s="947"/>
      <c r="EL42" s="947"/>
      <c r="EW42" s="840"/>
      <c r="EX42" s="938">
        <f t="shared" si="2"/>
        <v>975645.99016762502</v>
      </c>
      <c r="EY42" s="942">
        <f t="shared" si="3"/>
        <v>0.15</v>
      </c>
      <c r="EZ42" s="938">
        <f t="shared" si="4"/>
        <v>146346.89852514374</v>
      </c>
      <c r="FA42" s="938">
        <f t="shared" si="5"/>
        <v>10000</v>
      </c>
      <c r="FB42" s="938">
        <f t="shared" si="6"/>
        <v>136346.89852514374</v>
      </c>
      <c r="FC42" s="813">
        <f t="shared" si="62"/>
        <v>33</v>
      </c>
      <c r="FD42" s="814">
        <f t="shared" si="41"/>
        <v>4131.7241977316289</v>
      </c>
      <c r="FE42" s="942">
        <f t="shared" si="42"/>
        <v>0.85</v>
      </c>
      <c r="FF42" s="938">
        <f t="shared" si="43"/>
        <v>829299.09164248127</v>
      </c>
      <c r="FG42" s="940">
        <f t="shared" si="44"/>
        <v>7453.9746856049978</v>
      </c>
      <c r="FH42" s="940">
        <f t="shared" si="45"/>
        <v>9628.8656347994838</v>
      </c>
      <c r="FI42" s="940">
        <f t="shared" si="46"/>
        <v>16421.115962944295</v>
      </c>
      <c r="FJ42" s="840"/>
      <c r="FK42" s="938">
        <f t="shared" si="58"/>
        <v>-3443.10349810969</v>
      </c>
      <c r="FN42" s="957"/>
      <c r="FO42" s="957"/>
      <c r="FP42" s="957"/>
      <c r="FU42" s="957"/>
      <c r="FV42" s="957"/>
    </row>
    <row r="43" spans="1:178" s="717" customFormat="1" ht="14.5" x14ac:dyDescent="0.3">
      <c r="A43" s="813">
        <f t="shared" si="47"/>
        <v>32</v>
      </c>
      <c r="B43" s="813"/>
      <c r="C43" s="813" t="s">
        <v>376</v>
      </c>
      <c r="D43" s="813">
        <f t="shared" si="63"/>
        <v>6</v>
      </c>
      <c r="E43" s="813" t="s">
        <v>374</v>
      </c>
      <c r="F43" s="575" t="s">
        <v>505</v>
      </c>
      <c r="G43" s="575" t="s">
        <v>377</v>
      </c>
      <c r="H43" s="575">
        <v>13.5</v>
      </c>
      <c r="I43" s="814">
        <v>52000</v>
      </c>
      <c r="J43" s="815">
        <f t="shared" si="7"/>
        <v>702000</v>
      </c>
      <c r="K43" s="815">
        <v>40000</v>
      </c>
      <c r="L43" s="815"/>
      <c r="M43" s="815"/>
      <c r="N43" s="815">
        <f t="shared" si="8"/>
        <v>742000</v>
      </c>
      <c r="O43" s="815">
        <f t="shared" si="9"/>
        <v>18550</v>
      </c>
      <c r="P43" s="815">
        <f t="shared" si="10"/>
        <v>760550</v>
      </c>
      <c r="Q43" s="948">
        <f t="shared" si="11"/>
        <v>1.2500000000000001E-2</v>
      </c>
      <c r="R43" s="815">
        <f t="shared" si="12"/>
        <v>9506.875</v>
      </c>
      <c r="S43" s="955">
        <v>747.77850000000001</v>
      </c>
      <c r="T43" s="955">
        <f t="shared" si="13"/>
        <v>770804.65350000001</v>
      </c>
      <c r="U43" s="955"/>
      <c r="V43" s="955">
        <f t="shared" si="14"/>
        <v>28905.174506250001</v>
      </c>
      <c r="W43" s="955">
        <f t="shared" si="15"/>
        <v>799709.82800624997</v>
      </c>
      <c r="X43" s="955"/>
      <c r="Y43" s="955">
        <f t="shared" si="16"/>
        <v>799709.82800624997</v>
      </c>
      <c r="Z43" s="955"/>
      <c r="AA43" s="955">
        <f t="shared" si="17"/>
        <v>799709.82800624997</v>
      </c>
      <c r="AB43" s="955"/>
      <c r="AC43" s="955">
        <f t="shared" si="18"/>
        <v>799709.82800624997</v>
      </c>
      <c r="AD43" s="955"/>
      <c r="AE43" s="955">
        <f t="shared" si="19"/>
        <v>799709.82800624997</v>
      </c>
      <c r="AF43" s="955"/>
      <c r="AG43" s="955">
        <f t="shared" si="20"/>
        <v>799709.82800624997</v>
      </c>
      <c r="AH43" s="955"/>
      <c r="AI43" s="955">
        <f t="shared" si="21"/>
        <v>799709.82800624997</v>
      </c>
      <c r="AJ43" s="955"/>
      <c r="AK43" s="955">
        <f t="shared" si="22"/>
        <v>799709.82800624997</v>
      </c>
      <c r="AL43" s="955"/>
      <c r="AM43" s="955">
        <f t="shared" si="23"/>
        <v>799709.82800624997</v>
      </c>
      <c r="AN43" s="955"/>
      <c r="AO43" s="1000">
        <f t="shared" si="24"/>
        <v>799709.82800624997</v>
      </c>
      <c r="AP43" s="1000"/>
      <c r="AQ43" s="1000">
        <f t="shared" si="25"/>
        <v>799709.82800624997</v>
      </c>
      <c r="AR43" s="1000"/>
      <c r="AS43" s="1000">
        <f t="shared" si="26"/>
        <v>799709.82800624997</v>
      </c>
      <c r="AT43" s="815">
        <f t="shared" si="27"/>
        <v>799709.82800624997</v>
      </c>
      <c r="AU43" s="815">
        <f t="shared" si="28"/>
        <v>95965.179360749986</v>
      </c>
      <c r="AV43" s="815">
        <f t="shared" si="29"/>
        <v>79970.982800625003</v>
      </c>
      <c r="AW43" s="815">
        <f t="shared" si="57"/>
        <v>975645.99016762502</v>
      </c>
      <c r="AX43" s="816">
        <v>0.15</v>
      </c>
      <c r="AY43" s="815">
        <f t="shared" si="49"/>
        <v>146346.89852514374</v>
      </c>
      <c r="AZ43" s="815">
        <v>10000</v>
      </c>
      <c r="BA43" s="815">
        <f t="shared" si="50"/>
        <v>136346.89852514374</v>
      </c>
      <c r="BB43" s="815">
        <f t="shared" si="60"/>
        <v>18</v>
      </c>
      <c r="BC43" s="814">
        <f t="shared" si="51"/>
        <v>7574.8276958413189</v>
      </c>
      <c r="BD43" s="817">
        <f t="shared" si="31"/>
        <v>0.85</v>
      </c>
      <c r="BE43" s="815">
        <f t="shared" si="52"/>
        <v>829299.09164248127</v>
      </c>
      <c r="BF43" s="833">
        <f t="shared" si="32"/>
        <v>7453.9746856049978</v>
      </c>
      <c r="BG43" s="833">
        <f t="shared" si="33"/>
        <v>9628.8656347994838</v>
      </c>
      <c r="BH43" s="833">
        <f t="shared" si="34"/>
        <v>16421.115962944295</v>
      </c>
      <c r="BJ43" s="818"/>
      <c r="BK43" s="818"/>
      <c r="BL43" s="907">
        <f t="shared" si="64"/>
        <v>45839</v>
      </c>
      <c r="BM43" s="908">
        <f t="shared" si="35"/>
        <v>21</v>
      </c>
      <c r="BN43" s="909"/>
      <c r="BO43" s="907">
        <f t="shared" si="36"/>
        <v>45904</v>
      </c>
      <c r="BP43" s="914">
        <f t="shared" si="61"/>
        <v>23</v>
      </c>
      <c r="BQ43" s="818"/>
      <c r="BR43" s="818"/>
      <c r="BS43" s="818"/>
      <c r="BT43" s="818"/>
      <c r="BU43" s="818"/>
      <c r="BV43" s="818"/>
      <c r="BW43" s="818"/>
      <c r="BX43" s="818"/>
      <c r="BY43" s="818"/>
      <c r="BZ43" s="818"/>
      <c r="CA43" s="968" t="s">
        <v>263</v>
      </c>
      <c r="CB43" s="812" t="s">
        <v>263</v>
      </c>
      <c r="CC43" s="832" t="b">
        <f t="shared" si="38"/>
        <v>1</v>
      </c>
      <c r="CD43" s="717" t="s">
        <v>263</v>
      </c>
      <c r="CE43" s="949" t="b">
        <f t="shared" si="39"/>
        <v>1</v>
      </c>
      <c r="CG43" s="842"/>
      <c r="CH43" s="878"/>
      <c r="ED43" s="947"/>
      <c r="EF43" s="947"/>
      <c r="EG43" s="947"/>
      <c r="EH43" s="947"/>
      <c r="EI43" s="947"/>
      <c r="EJ43" s="947"/>
      <c r="EK43" s="947"/>
      <c r="EL43" s="947"/>
      <c r="EW43" s="840"/>
      <c r="EX43" s="938">
        <f t="shared" si="2"/>
        <v>975645.99016762502</v>
      </c>
      <c r="EY43" s="942">
        <f t="shared" si="3"/>
        <v>0.15</v>
      </c>
      <c r="EZ43" s="938">
        <f t="shared" si="4"/>
        <v>146346.89852514374</v>
      </c>
      <c r="FA43" s="938">
        <f t="shared" si="5"/>
        <v>10000</v>
      </c>
      <c r="FB43" s="938">
        <f t="shared" si="6"/>
        <v>136346.89852514374</v>
      </c>
      <c r="FC43" s="813">
        <f t="shared" si="62"/>
        <v>33</v>
      </c>
      <c r="FD43" s="814">
        <f t="shared" si="41"/>
        <v>4131.7241977316289</v>
      </c>
      <c r="FE43" s="942">
        <f t="shared" si="42"/>
        <v>0.85</v>
      </c>
      <c r="FF43" s="938">
        <f t="shared" si="43"/>
        <v>829299.09164248127</v>
      </c>
      <c r="FG43" s="940">
        <f t="shared" si="44"/>
        <v>7453.9746856049978</v>
      </c>
      <c r="FH43" s="940">
        <f t="shared" si="45"/>
        <v>9628.8656347994838</v>
      </c>
      <c r="FI43" s="940">
        <f t="shared" si="46"/>
        <v>16421.115962944295</v>
      </c>
      <c r="FJ43" s="840"/>
      <c r="FK43" s="938">
        <f t="shared" si="58"/>
        <v>-3443.10349810969</v>
      </c>
      <c r="FN43" s="957"/>
      <c r="FO43" s="957"/>
      <c r="FP43" s="957"/>
      <c r="FU43" s="957"/>
      <c r="FV43" s="957"/>
    </row>
    <row r="44" spans="1:178" s="717" customFormat="1" ht="14.5" x14ac:dyDescent="0.3">
      <c r="A44" s="813">
        <f t="shared" si="47"/>
        <v>33</v>
      </c>
      <c r="B44" s="813"/>
      <c r="C44" s="813" t="s">
        <v>376</v>
      </c>
      <c r="D44" s="813">
        <f t="shared" si="63"/>
        <v>7</v>
      </c>
      <c r="E44" s="813" t="s">
        <v>374</v>
      </c>
      <c r="F44" s="575" t="s">
        <v>506</v>
      </c>
      <c r="G44" s="575" t="s">
        <v>377</v>
      </c>
      <c r="H44" s="575">
        <v>13.5</v>
      </c>
      <c r="I44" s="814">
        <v>52000</v>
      </c>
      <c r="J44" s="815">
        <f t="shared" si="7"/>
        <v>702000</v>
      </c>
      <c r="K44" s="815">
        <v>40000</v>
      </c>
      <c r="L44" s="815"/>
      <c r="M44" s="815"/>
      <c r="N44" s="815">
        <f t="shared" si="8"/>
        <v>742000</v>
      </c>
      <c r="O44" s="815">
        <f t="shared" si="9"/>
        <v>18550</v>
      </c>
      <c r="P44" s="815">
        <f t="shared" si="10"/>
        <v>760550</v>
      </c>
      <c r="Q44" s="948">
        <f t="shared" si="11"/>
        <v>1.2500000000000001E-2</v>
      </c>
      <c r="R44" s="815">
        <f t="shared" si="12"/>
        <v>9506.875</v>
      </c>
      <c r="S44" s="955">
        <v>747.77850000000001</v>
      </c>
      <c r="T44" s="955">
        <f t="shared" si="13"/>
        <v>770804.65350000001</v>
      </c>
      <c r="U44" s="955"/>
      <c r="V44" s="955">
        <f t="shared" si="14"/>
        <v>28905.174506250001</v>
      </c>
      <c r="W44" s="955">
        <f t="shared" si="15"/>
        <v>799709.82800624997</v>
      </c>
      <c r="X44" s="955"/>
      <c r="Y44" s="955">
        <f t="shared" si="16"/>
        <v>799709.82800624997</v>
      </c>
      <c r="Z44" s="955"/>
      <c r="AA44" s="955">
        <f t="shared" si="17"/>
        <v>799709.82800624997</v>
      </c>
      <c r="AB44" s="955"/>
      <c r="AC44" s="955">
        <f t="shared" si="18"/>
        <v>799709.82800624997</v>
      </c>
      <c r="AD44" s="955"/>
      <c r="AE44" s="955">
        <f t="shared" si="19"/>
        <v>799709.82800624997</v>
      </c>
      <c r="AF44" s="955"/>
      <c r="AG44" s="955">
        <f t="shared" si="20"/>
        <v>799709.82800624997</v>
      </c>
      <c r="AH44" s="955"/>
      <c r="AI44" s="955">
        <f t="shared" si="21"/>
        <v>799709.82800624997</v>
      </c>
      <c r="AJ44" s="955"/>
      <c r="AK44" s="955">
        <f t="shared" si="22"/>
        <v>799709.82800624997</v>
      </c>
      <c r="AL44" s="955"/>
      <c r="AM44" s="955">
        <f t="shared" si="23"/>
        <v>799709.82800624997</v>
      </c>
      <c r="AN44" s="955"/>
      <c r="AO44" s="1000">
        <f t="shared" si="24"/>
        <v>799709.82800624997</v>
      </c>
      <c r="AP44" s="1000"/>
      <c r="AQ44" s="1000">
        <f t="shared" si="25"/>
        <v>799709.82800624997</v>
      </c>
      <c r="AR44" s="1000"/>
      <c r="AS44" s="1000">
        <f t="shared" si="26"/>
        <v>799709.82800624997</v>
      </c>
      <c r="AT44" s="815">
        <f t="shared" si="27"/>
        <v>799709.82800624997</v>
      </c>
      <c r="AU44" s="815">
        <f t="shared" si="28"/>
        <v>95965.179360749986</v>
      </c>
      <c r="AV44" s="815">
        <f t="shared" si="29"/>
        <v>79970.982800625003</v>
      </c>
      <c r="AW44" s="815">
        <f t="shared" si="57"/>
        <v>975645.99016762502</v>
      </c>
      <c r="AX44" s="816">
        <v>0.15</v>
      </c>
      <c r="AY44" s="815">
        <f t="shared" si="49"/>
        <v>146346.89852514374</v>
      </c>
      <c r="AZ44" s="815">
        <v>10000</v>
      </c>
      <c r="BA44" s="815">
        <f t="shared" si="50"/>
        <v>136346.89852514374</v>
      </c>
      <c r="BB44" s="815">
        <f t="shared" si="60"/>
        <v>18</v>
      </c>
      <c r="BC44" s="814">
        <f t="shared" si="51"/>
        <v>7574.8276958413189</v>
      </c>
      <c r="BD44" s="817">
        <f t="shared" si="31"/>
        <v>0.85</v>
      </c>
      <c r="BE44" s="815">
        <f t="shared" si="52"/>
        <v>829299.09164248127</v>
      </c>
      <c r="BF44" s="833">
        <f t="shared" si="32"/>
        <v>7453.9746856049978</v>
      </c>
      <c r="BG44" s="833">
        <f t="shared" si="33"/>
        <v>9628.8656347994838</v>
      </c>
      <c r="BH44" s="833">
        <f t="shared" si="34"/>
        <v>16421.115962944295</v>
      </c>
      <c r="BJ44" s="818"/>
      <c r="BK44" s="818"/>
      <c r="BL44" s="907">
        <f t="shared" si="64"/>
        <v>45839</v>
      </c>
      <c r="BM44" s="908">
        <f t="shared" si="35"/>
        <v>21</v>
      </c>
      <c r="BN44" s="909"/>
      <c r="BO44" s="907">
        <f t="shared" si="36"/>
        <v>45904</v>
      </c>
      <c r="BP44" s="914">
        <f t="shared" si="61"/>
        <v>23</v>
      </c>
      <c r="BQ44" s="818"/>
      <c r="BR44" s="818"/>
      <c r="BS44" s="818"/>
      <c r="BT44" s="818"/>
      <c r="BU44" s="818"/>
      <c r="BV44" s="818"/>
      <c r="BW44" s="818"/>
      <c r="BX44" s="818"/>
      <c r="BY44" s="818"/>
      <c r="BZ44" s="818"/>
      <c r="CA44" s="968" t="s">
        <v>263</v>
      </c>
      <c r="CB44" s="812" t="s">
        <v>263</v>
      </c>
      <c r="CC44" s="832" t="b">
        <f t="shared" si="38"/>
        <v>1</v>
      </c>
      <c r="CD44" s="717" t="s">
        <v>263</v>
      </c>
      <c r="CE44" s="949" t="b">
        <f t="shared" si="39"/>
        <v>1</v>
      </c>
      <c r="CG44" s="842"/>
      <c r="CH44" s="878"/>
      <c r="ED44" s="947"/>
      <c r="EF44" s="947"/>
      <c r="EG44" s="947"/>
      <c r="EH44" s="947"/>
      <c r="EI44" s="947"/>
      <c r="EJ44" s="947"/>
      <c r="EK44" s="947"/>
      <c r="EL44" s="947"/>
      <c r="EW44" s="840"/>
      <c r="EX44" s="938">
        <f t="shared" ref="EX44:EX75" si="65">AW44</f>
        <v>975645.99016762502</v>
      </c>
      <c r="EY44" s="942">
        <f t="shared" ref="EY44:EY75" si="66">AX44</f>
        <v>0.15</v>
      </c>
      <c r="EZ44" s="938">
        <f t="shared" ref="EZ44:EZ75" si="67">AY44</f>
        <v>146346.89852514374</v>
      </c>
      <c r="FA44" s="938">
        <f t="shared" ref="FA44:FA75" si="68">AZ44</f>
        <v>10000</v>
      </c>
      <c r="FB44" s="938">
        <f t="shared" ref="FB44:FB75" si="69">BA44</f>
        <v>136346.89852514374</v>
      </c>
      <c r="FC44" s="813">
        <f t="shared" si="62"/>
        <v>33</v>
      </c>
      <c r="FD44" s="814">
        <f t="shared" si="41"/>
        <v>4131.7241977316289</v>
      </c>
      <c r="FE44" s="942">
        <f t="shared" si="42"/>
        <v>0.85</v>
      </c>
      <c r="FF44" s="938">
        <f t="shared" si="43"/>
        <v>829299.09164248127</v>
      </c>
      <c r="FG44" s="940">
        <f t="shared" si="44"/>
        <v>7453.9746856049978</v>
      </c>
      <c r="FH44" s="940">
        <f t="shared" si="45"/>
        <v>9628.8656347994838</v>
      </c>
      <c r="FI44" s="940">
        <f t="shared" si="46"/>
        <v>16421.115962944295</v>
      </c>
      <c r="FJ44" s="840"/>
      <c r="FK44" s="938">
        <f t="shared" si="58"/>
        <v>-3443.10349810969</v>
      </c>
      <c r="FN44" s="957"/>
      <c r="FO44" s="957"/>
      <c r="FP44" s="957"/>
      <c r="FU44" s="957"/>
      <c r="FV44" s="957"/>
    </row>
    <row r="45" spans="1:178" s="717" customFormat="1" ht="14.5" x14ac:dyDescent="0.3">
      <c r="A45" s="813">
        <f t="shared" si="47"/>
        <v>34</v>
      </c>
      <c r="B45" s="813"/>
      <c r="C45" s="813" t="s">
        <v>376</v>
      </c>
      <c r="D45" s="813">
        <f t="shared" si="63"/>
        <v>8</v>
      </c>
      <c r="E45" s="813" t="s">
        <v>374</v>
      </c>
      <c r="F45" s="575" t="s">
        <v>507</v>
      </c>
      <c r="G45" s="575" t="s">
        <v>377</v>
      </c>
      <c r="H45" s="575">
        <v>13.5</v>
      </c>
      <c r="I45" s="814">
        <v>52000</v>
      </c>
      <c r="J45" s="815">
        <f t="shared" si="7"/>
        <v>702000</v>
      </c>
      <c r="K45" s="815">
        <v>40000</v>
      </c>
      <c r="L45" s="815"/>
      <c r="M45" s="815"/>
      <c r="N45" s="815">
        <f t="shared" si="8"/>
        <v>742000</v>
      </c>
      <c r="O45" s="815">
        <f t="shared" si="9"/>
        <v>18550</v>
      </c>
      <c r="P45" s="815">
        <f t="shared" si="10"/>
        <v>760550</v>
      </c>
      <c r="Q45" s="948">
        <f t="shared" si="11"/>
        <v>1.2500000000000001E-2</v>
      </c>
      <c r="R45" s="815">
        <f t="shared" si="12"/>
        <v>9506.875</v>
      </c>
      <c r="S45" s="955">
        <v>747.77850000000001</v>
      </c>
      <c r="T45" s="955">
        <f t="shared" si="13"/>
        <v>770804.65350000001</v>
      </c>
      <c r="U45" s="955"/>
      <c r="V45" s="955">
        <f t="shared" si="14"/>
        <v>28905.174506250001</v>
      </c>
      <c r="W45" s="955">
        <f t="shared" si="15"/>
        <v>799709.82800624997</v>
      </c>
      <c r="X45" s="955"/>
      <c r="Y45" s="955">
        <f t="shared" si="16"/>
        <v>799709.82800624997</v>
      </c>
      <c r="Z45" s="955"/>
      <c r="AA45" s="955">
        <f t="shared" si="17"/>
        <v>799709.82800624997</v>
      </c>
      <c r="AB45" s="955"/>
      <c r="AC45" s="955">
        <f t="shared" si="18"/>
        <v>799709.82800624997</v>
      </c>
      <c r="AD45" s="955"/>
      <c r="AE45" s="955">
        <f t="shared" si="19"/>
        <v>799709.82800624997</v>
      </c>
      <c r="AF45" s="955"/>
      <c r="AG45" s="955">
        <f t="shared" si="20"/>
        <v>799709.82800624997</v>
      </c>
      <c r="AH45" s="955"/>
      <c r="AI45" s="955">
        <f t="shared" si="21"/>
        <v>799709.82800624997</v>
      </c>
      <c r="AJ45" s="955"/>
      <c r="AK45" s="955">
        <f t="shared" si="22"/>
        <v>799709.82800624997</v>
      </c>
      <c r="AL45" s="955"/>
      <c r="AM45" s="955">
        <f t="shared" si="23"/>
        <v>799709.82800624997</v>
      </c>
      <c r="AN45" s="955"/>
      <c r="AO45" s="1000">
        <f t="shared" si="24"/>
        <v>799709.82800624997</v>
      </c>
      <c r="AP45" s="1000"/>
      <c r="AQ45" s="1000">
        <f t="shared" si="25"/>
        <v>799709.82800624997</v>
      </c>
      <c r="AR45" s="1000"/>
      <c r="AS45" s="1000">
        <f t="shared" si="26"/>
        <v>799709.82800624997</v>
      </c>
      <c r="AT45" s="815">
        <f t="shared" si="27"/>
        <v>799709.82800624997</v>
      </c>
      <c r="AU45" s="815">
        <f t="shared" si="28"/>
        <v>95965.179360749986</v>
      </c>
      <c r="AV45" s="815">
        <f t="shared" si="29"/>
        <v>79970.982800625003</v>
      </c>
      <c r="AW45" s="815">
        <f t="shared" si="57"/>
        <v>975645.99016762502</v>
      </c>
      <c r="AX45" s="816">
        <v>0.15</v>
      </c>
      <c r="AY45" s="815">
        <f t="shared" si="49"/>
        <v>146346.89852514374</v>
      </c>
      <c r="AZ45" s="815">
        <v>10000</v>
      </c>
      <c r="BA45" s="815">
        <f t="shared" si="50"/>
        <v>136346.89852514374</v>
      </c>
      <c r="BB45" s="815">
        <f t="shared" si="60"/>
        <v>18</v>
      </c>
      <c r="BC45" s="814">
        <f t="shared" si="51"/>
        <v>7574.8276958413189</v>
      </c>
      <c r="BD45" s="817">
        <f t="shared" si="31"/>
        <v>0.85</v>
      </c>
      <c r="BE45" s="815">
        <f t="shared" si="52"/>
        <v>829299.09164248127</v>
      </c>
      <c r="BF45" s="833">
        <f t="shared" si="32"/>
        <v>7453.9746856049978</v>
      </c>
      <c r="BG45" s="833">
        <f t="shared" si="33"/>
        <v>9628.8656347994838</v>
      </c>
      <c r="BH45" s="833">
        <f t="shared" si="34"/>
        <v>16421.115962944295</v>
      </c>
      <c r="BJ45" s="818"/>
      <c r="BK45" s="818"/>
      <c r="BL45" s="907">
        <f t="shared" si="64"/>
        <v>45839</v>
      </c>
      <c r="BM45" s="908">
        <f t="shared" si="35"/>
        <v>21</v>
      </c>
      <c r="BN45" s="909"/>
      <c r="BO45" s="907">
        <f t="shared" si="36"/>
        <v>45904</v>
      </c>
      <c r="BP45" s="914">
        <f t="shared" si="61"/>
        <v>23</v>
      </c>
      <c r="BQ45" s="818"/>
      <c r="BR45" s="818"/>
      <c r="BS45" s="818"/>
      <c r="BT45" s="818"/>
      <c r="BU45" s="818"/>
      <c r="BV45" s="818"/>
      <c r="BW45" s="818"/>
      <c r="BX45" s="818"/>
      <c r="BY45" s="818"/>
      <c r="BZ45" s="818"/>
      <c r="CA45" s="968" t="s">
        <v>263</v>
      </c>
      <c r="CB45" s="812" t="s">
        <v>263</v>
      </c>
      <c r="CC45" s="832" t="b">
        <f t="shared" si="38"/>
        <v>1</v>
      </c>
      <c r="CD45" s="717" t="s">
        <v>263</v>
      </c>
      <c r="CE45" s="949" t="b">
        <f t="shared" si="39"/>
        <v>1</v>
      </c>
      <c r="CG45" s="842"/>
      <c r="CH45" s="878"/>
      <c r="ED45" s="947"/>
      <c r="EF45" s="947"/>
      <c r="EG45" s="947"/>
      <c r="EH45" s="947"/>
      <c r="EI45" s="947"/>
      <c r="EJ45" s="947"/>
      <c r="EK45" s="947"/>
      <c r="EL45" s="947"/>
      <c r="EW45" s="840"/>
      <c r="EX45" s="938">
        <f t="shared" si="65"/>
        <v>975645.99016762502</v>
      </c>
      <c r="EY45" s="942">
        <f t="shared" si="66"/>
        <v>0.15</v>
      </c>
      <c r="EZ45" s="938">
        <f t="shared" si="67"/>
        <v>146346.89852514374</v>
      </c>
      <c r="FA45" s="938">
        <f t="shared" si="68"/>
        <v>10000</v>
      </c>
      <c r="FB45" s="938">
        <f t="shared" si="69"/>
        <v>136346.89852514374</v>
      </c>
      <c r="FC45" s="813">
        <f t="shared" si="62"/>
        <v>33</v>
      </c>
      <c r="FD45" s="814">
        <f t="shared" si="41"/>
        <v>4131.7241977316289</v>
      </c>
      <c r="FE45" s="942">
        <f t="shared" si="42"/>
        <v>0.85</v>
      </c>
      <c r="FF45" s="938">
        <f t="shared" si="43"/>
        <v>829299.09164248127</v>
      </c>
      <c r="FG45" s="940">
        <f t="shared" si="44"/>
        <v>7453.9746856049978</v>
      </c>
      <c r="FH45" s="940">
        <f t="shared" si="45"/>
        <v>9628.8656347994838</v>
      </c>
      <c r="FI45" s="940">
        <f t="shared" si="46"/>
        <v>16421.115962944295</v>
      </c>
      <c r="FJ45" s="840"/>
      <c r="FK45" s="938">
        <f t="shared" si="58"/>
        <v>-3443.10349810969</v>
      </c>
      <c r="FN45" s="957"/>
      <c r="FO45" s="957"/>
      <c r="FP45" s="957"/>
      <c r="FU45" s="957"/>
      <c r="FV45" s="957"/>
    </row>
    <row r="46" spans="1:178" s="717" customFormat="1" ht="14.5" x14ac:dyDescent="0.3">
      <c r="A46" s="813">
        <f t="shared" si="47"/>
        <v>35</v>
      </c>
      <c r="B46" s="813"/>
      <c r="C46" s="813" t="s">
        <v>376</v>
      </c>
      <c r="D46" s="813">
        <f t="shared" si="63"/>
        <v>9</v>
      </c>
      <c r="E46" s="813" t="s">
        <v>374</v>
      </c>
      <c r="F46" s="575" t="s">
        <v>508</v>
      </c>
      <c r="G46" s="575" t="s">
        <v>377</v>
      </c>
      <c r="H46" s="575">
        <v>13.5</v>
      </c>
      <c r="I46" s="814">
        <v>52000</v>
      </c>
      <c r="J46" s="815">
        <f t="shared" si="7"/>
        <v>702000</v>
      </c>
      <c r="K46" s="815">
        <v>40000</v>
      </c>
      <c r="L46" s="815"/>
      <c r="M46" s="815"/>
      <c r="N46" s="815">
        <f t="shared" si="8"/>
        <v>742000</v>
      </c>
      <c r="O46" s="815">
        <f t="shared" si="9"/>
        <v>18550</v>
      </c>
      <c r="P46" s="815">
        <f t="shared" si="10"/>
        <v>760550</v>
      </c>
      <c r="Q46" s="948">
        <f t="shared" si="11"/>
        <v>1.2500000000000001E-2</v>
      </c>
      <c r="R46" s="815">
        <f t="shared" si="12"/>
        <v>9506.875</v>
      </c>
      <c r="S46" s="955">
        <v>747.77850000000001</v>
      </c>
      <c r="T46" s="955">
        <f t="shared" si="13"/>
        <v>770804.65350000001</v>
      </c>
      <c r="U46" s="955"/>
      <c r="V46" s="955">
        <f t="shared" si="14"/>
        <v>28905.174506250001</v>
      </c>
      <c r="W46" s="955">
        <f t="shared" si="15"/>
        <v>799709.82800624997</v>
      </c>
      <c r="X46" s="955"/>
      <c r="Y46" s="955">
        <f t="shared" si="16"/>
        <v>799709.82800624997</v>
      </c>
      <c r="Z46" s="955"/>
      <c r="AA46" s="955">
        <f t="shared" si="17"/>
        <v>799709.82800624997</v>
      </c>
      <c r="AB46" s="955"/>
      <c r="AC46" s="955">
        <f t="shared" si="18"/>
        <v>799709.82800624997</v>
      </c>
      <c r="AD46" s="955"/>
      <c r="AE46" s="955">
        <f t="shared" si="19"/>
        <v>799709.82800624997</v>
      </c>
      <c r="AF46" s="955"/>
      <c r="AG46" s="955">
        <f t="shared" si="20"/>
        <v>799709.82800624997</v>
      </c>
      <c r="AH46" s="955"/>
      <c r="AI46" s="955">
        <f t="shared" si="21"/>
        <v>799709.82800624997</v>
      </c>
      <c r="AJ46" s="955"/>
      <c r="AK46" s="955">
        <f t="shared" si="22"/>
        <v>799709.82800624997</v>
      </c>
      <c r="AL46" s="955"/>
      <c r="AM46" s="955">
        <f t="shared" si="23"/>
        <v>799709.82800624997</v>
      </c>
      <c r="AN46" s="955"/>
      <c r="AO46" s="1000">
        <f t="shared" si="24"/>
        <v>799709.82800624997</v>
      </c>
      <c r="AP46" s="1000"/>
      <c r="AQ46" s="1000">
        <f t="shared" si="25"/>
        <v>799709.82800624997</v>
      </c>
      <c r="AR46" s="1000"/>
      <c r="AS46" s="1000">
        <f t="shared" si="26"/>
        <v>799709.82800624997</v>
      </c>
      <c r="AT46" s="815">
        <f t="shared" si="27"/>
        <v>799709.82800624997</v>
      </c>
      <c r="AU46" s="815">
        <f t="shared" si="28"/>
        <v>95965.179360749986</v>
      </c>
      <c r="AV46" s="815">
        <f t="shared" si="29"/>
        <v>79970.982800625003</v>
      </c>
      <c r="AW46" s="815">
        <f t="shared" si="57"/>
        <v>975645.99016762502</v>
      </c>
      <c r="AX46" s="816">
        <v>0.15</v>
      </c>
      <c r="AY46" s="815">
        <f t="shared" si="49"/>
        <v>146346.89852514374</v>
      </c>
      <c r="AZ46" s="815">
        <v>10000</v>
      </c>
      <c r="BA46" s="815">
        <f t="shared" si="50"/>
        <v>136346.89852514374</v>
      </c>
      <c r="BB46" s="815">
        <f t="shared" si="60"/>
        <v>18</v>
      </c>
      <c r="BC46" s="814">
        <f t="shared" si="51"/>
        <v>7574.8276958413189</v>
      </c>
      <c r="BD46" s="817">
        <f t="shared" si="31"/>
        <v>0.85</v>
      </c>
      <c r="BE46" s="815">
        <f t="shared" si="52"/>
        <v>829299.09164248127</v>
      </c>
      <c r="BF46" s="833">
        <f t="shared" si="32"/>
        <v>7453.9746856049978</v>
      </c>
      <c r="BG46" s="833">
        <f t="shared" si="33"/>
        <v>9628.8656347994838</v>
      </c>
      <c r="BH46" s="833">
        <f t="shared" si="34"/>
        <v>16421.115962944295</v>
      </c>
      <c r="BJ46" s="818"/>
      <c r="BK46" s="818"/>
      <c r="BL46" s="907">
        <f t="shared" si="64"/>
        <v>45839</v>
      </c>
      <c r="BM46" s="908">
        <f t="shared" si="35"/>
        <v>21</v>
      </c>
      <c r="BN46" s="909"/>
      <c r="BO46" s="907">
        <f t="shared" si="36"/>
        <v>45904</v>
      </c>
      <c r="BP46" s="914">
        <f t="shared" si="61"/>
        <v>23</v>
      </c>
      <c r="BQ46" s="818"/>
      <c r="BR46" s="818"/>
      <c r="BS46" s="818"/>
      <c r="BT46" s="818"/>
      <c r="BU46" s="818"/>
      <c r="BV46" s="818"/>
      <c r="BW46" s="818"/>
      <c r="BX46" s="818"/>
      <c r="BY46" s="818"/>
      <c r="BZ46" s="818"/>
      <c r="CA46" s="968" t="s">
        <v>263</v>
      </c>
      <c r="CB46" s="812" t="s">
        <v>263</v>
      </c>
      <c r="CC46" s="832" t="b">
        <f t="shared" si="38"/>
        <v>1</v>
      </c>
      <c r="CD46" s="717" t="s">
        <v>263</v>
      </c>
      <c r="CE46" s="949" t="b">
        <f t="shared" si="39"/>
        <v>1</v>
      </c>
      <c r="CG46" s="842"/>
      <c r="CH46" s="878"/>
      <c r="ED46" s="947"/>
      <c r="EF46" s="947"/>
      <c r="EG46" s="947"/>
      <c r="EH46" s="947"/>
      <c r="EI46" s="947"/>
      <c r="EJ46" s="947"/>
      <c r="EK46" s="947"/>
      <c r="EL46" s="947"/>
      <c r="EW46" s="840"/>
      <c r="EX46" s="938">
        <f t="shared" si="65"/>
        <v>975645.99016762502</v>
      </c>
      <c r="EY46" s="942">
        <f t="shared" si="66"/>
        <v>0.15</v>
      </c>
      <c r="EZ46" s="938">
        <f t="shared" si="67"/>
        <v>146346.89852514374</v>
      </c>
      <c r="FA46" s="938">
        <f t="shared" si="68"/>
        <v>10000</v>
      </c>
      <c r="FB46" s="938">
        <f t="shared" si="69"/>
        <v>136346.89852514374</v>
      </c>
      <c r="FC46" s="813">
        <f t="shared" si="62"/>
        <v>33</v>
      </c>
      <c r="FD46" s="814">
        <f t="shared" si="41"/>
        <v>4131.7241977316289</v>
      </c>
      <c r="FE46" s="942">
        <f t="shared" si="42"/>
        <v>0.85</v>
      </c>
      <c r="FF46" s="938">
        <f t="shared" si="43"/>
        <v>829299.09164248127</v>
      </c>
      <c r="FG46" s="940">
        <f t="shared" si="44"/>
        <v>7453.9746856049978</v>
      </c>
      <c r="FH46" s="940">
        <f t="shared" si="45"/>
        <v>9628.8656347994838</v>
      </c>
      <c r="FI46" s="940">
        <f t="shared" si="46"/>
        <v>16421.115962944295</v>
      </c>
      <c r="FJ46" s="840"/>
      <c r="FK46" s="938">
        <f t="shared" si="58"/>
        <v>-3443.10349810969</v>
      </c>
      <c r="FN46" s="957"/>
      <c r="FO46" s="957"/>
      <c r="FP46" s="957"/>
      <c r="FU46" s="957"/>
      <c r="FV46" s="957"/>
    </row>
    <row r="47" spans="1:178" s="717" customFormat="1" ht="14.5" x14ac:dyDescent="0.3">
      <c r="A47" s="813">
        <f t="shared" si="47"/>
        <v>36</v>
      </c>
      <c r="B47" s="813"/>
      <c r="C47" s="813" t="s">
        <v>376</v>
      </c>
      <c r="D47" s="813">
        <f t="shared" si="63"/>
        <v>10</v>
      </c>
      <c r="E47" s="813" t="s">
        <v>374</v>
      </c>
      <c r="F47" s="575" t="s">
        <v>509</v>
      </c>
      <c r="G47" s="575" t="s">
        <v>377</v>
      </c>
      <c r="H47" s="575">
        <v>13.5</v>
      </c>
      <c r="I47" s="814">
        <v>52000</v>
      </c>
      <c r="J47" s="815">
        <f t="shared" si="7"/>
        <v>702000</v>
      </c>
      <c r="K47" s="815">
        <v>40000</v>
      </c>
      <c r="L47" s="815"/>
      <c r="M47" s="815"/>
      <c r="N47" s="815">
        <f t="shared" si="8"/>
        <v>742000</v>
      </c>
      <c r="O47" s="815">
        <f t="shared" si="9"/>
        <v>18550</v>
      </c>
      <c r="P47" s="815">
        <f t="shared" si="10"/>
        <v>760550</v>
      </c>
      <c r="Q47" s="948">
        <f t="shared" si="11"/>
        <v>1.2500000000000001E-2</v>
      </c>
      <c r="R47" s="815">
        <f t="shared" si="12"/>
        <v>9506.875</v>
      </c>
      <c r="S47" s="955">
        <v>747.77850000000001</v>
      </c>
      <c r="T47" s="955">
        <f t="shared" si="13"/>
        <v>770804.65350000001</v>
      </c>
      <c r="U47" s="955"/>
      <c r="V47" s="955">
        <f t="shared" si="14"/>
        <v>28905.174506250001</v>
      </c>
      <c r="W47" s="955">
        <f t="shared" si="15"/>
        <v>799709.82800624997</v>
      </c>
      <c r="X47" s="955"/>
      <c r="Y47" s="955">
        <f t="shared" si="16"/>
        <v>799709.82800624997</v>
      </c>
      <c r="Z47" s="955"/>
      <c r="AA47" s="955">
        <f t="shared" si="17"/>
        <v>799709.82800624997</v>
      </c>
      <c r="AB47" s="955"/>
      <c r="AC47" s="955">
        <f t="shared" si="18"/>
        <v>799709.82800624997</v>
      </c>
      <c r="AD47" s="955"/>
      <c r="AE47" s="955">
        <f t="shared" si="19"/>
        <v>799709.82800624997</v>
      </c>
      <c r="AF47" s="955"/>
      <c r="AG47" s="955">
        <f t="shared" si="20"/>
        <v>799709.82800624997</v>
      </c>
      <c r="AH47" s="955"/>
      <c r="AI47" s="955">
        <f t="shared" si="21"/>
        <v>799709.82800624997</v>
      </c>
      <c r="AJ47" s="955"/>
      <c r="AK47" s="955">
        <f t="shared" si="22"/>
        <v>799709.82800624997</v>
      </c>
      <c r="AL47" s="955"/>
      <c r="AM47" s="955">
        <f t="shared" si="23"/>
        <v>799709.82800624997</v>
      </c>
      <c r="AN47" s="955"/>
      <c r="AO47" s="1000">
        <f t="shared" si="24"/>
        <v>799709.82800624997</v>
      </c>
      <c r="AP47" s="1000"/>
      <c r="AQ47" s="1000">
        <f t="shared" si="25"/>
        <v>799709.82800624997</v>
      </c>
      <c r="AR47" s="1000"/>
      <c r="AS47" s="1000">
        <f t="shared" si="26"/>
        <v>799709.82800624997</v>
      </c>
      <c r="AT47" s="815">
        <f t="shared" si="27"/>
        <v>799709.82800624997</v>
      </c>
      <c r="AU47" s="815">
        <f t="shared" si="28"/>
        <v>95965.179360749986</v>
      </c>
      <c r="AV47" s="815">
        <f t="shared" si="29"/>
        <v>79970.982800625003</v>
      </c>
      <c r="AW47" s="815">
        <f t="shared" si="57"/>
        <v>975645.99016762502</v>
      </c>
      <c r="AX47" s="816">
        <v>0.15</v>
      </c>
      <c r="AY47" s="815">
        <f t="shared" si="49"/>
        <v>146346.89852514374</v>
      </c>
      <c r="AZ47" s="815">
        <v>10000</v>
      </c>
      <c r="BA47" s="815">
        <f t="shared" si="50"/>
        <v>136346.89852514374</v>
      </c>
      <c r="BB47" s="815">
        <f t="shared" si="60"/>
        <v>18</v>
      </c>
      <c r="BC47" s="814">
        <f t="shared" si="51"/>
        <v>7574.8276958413189</v>
      </c>
      <c r="BD47" s="817">
        <f t="shared" si="31"/>
        <v>0.85</v>
      </c>
      <c r="BE47" s="815">
        <f t="shared" si="52"/>
        <v>829299.09164248127</v>
      </c>
      <c r="BF47" s="833">
        <f t="shared" si="32"/>
        <v>7453.9746856049978</v>
      </c>
      <c r="BG47" s="833">
        <f t="shared" si="33"/>
        <v>9628.8656347994838</v>
      </c>
      <c r="BH47" s="833">
        <f t="shared" si="34"/>
        <v>16421.115962944295</v>
      </c>
      <c r="BJ47" s="818"/>
      <c r="BK47" s="818"/>
      <c r="BL47" s="907">
        <f t="shared" si="64"/>
        <v>45839</v>
      </c>
      <c r="BM47" s="908">
        <f t="shared" si="35"/>
        <v>21</v>
      </c>
      <c r="BN47" s="909"/>
      <c r="BO47" s="907">
        <f t="shared" si="36"/>
        <v>45904</v>
      </c>
      <c r="BP47" s="914">
        <f t="shared" si="61"/>
        <v>23</v>
      </c>
      <c r="BQ47" s="818"/>
      <c r="BR47" s="818"/>
      <c r="BS47" s="818"/>
      <c r="BT47" s="818"/>
      <c r="BU47" s="818"/>
      <c r="BV47" s="818"/>
      <c r="BW47" s="818"/>
      <c r="BX47" s="818"/>
      <c r="BY47" s="818"/>
      <c r="BZ47" s="818"/>
      <c r="CA47" s="968" t="s">
        <v>263</v>
      </c>
      <c r="CB47" s="812" t="s">
        <v>263</v>
      </c>
      <c r="CC47" s="832" t="b">
        <f t="shared" si="38"/>
        <v>1</v>
      </c>
      <c r="CD47" s="717" t="s">
        <v>263</v>
      </c>
      <c r="CE47" s="949" t="b">
        <f t="shared" si="39"/>
        <v>1</v>
      </c>
      <c r="CG47" s="842"/>
      <c r="CH47" s="878"/>
      <c r="ED47" s="947"/>
      <c r="EF47" s="947"/>
      <c r="EG47" s="947"/>
      <c r="EH47" s="947"/>
      <c r="EI47" s="947"/>
      <c r="EJ47" s="947"/>
      <c r="EK47" s="947"/>
      <c r="EL47" s="947"/>
      <c r="EW47" s="840"/>
      <c r="EX47" s="938">
        <f t="shared" si="65"/>
        <v>975645.99016762502</v>
      </c>
      <c r="EY47" s="942">
        <f t="shared" si="66"/>
        <v>0.15</v>
      </c>
      <c r="EZ47" s="938">
        <f t="shared" si="67"/>
        <v>146346.89852514374</v>
      </c>
      <c r="FA47" s="938">
        <f t="shared" si="68"/>
        <v>10000</v>
      </c>
      <c r="FB47" s="938">
        <f t="shared" si="69"/>
        <v>136346.89852514374</v>
      </c>
      <c r="FC47" s="813">
        <f t="shared" si="62"/>
        <v>33</v>
      </c>
      <c r="FD47" s="814">
        <f t="shared" si="41"/>
        <v>4131.7241977316289</v>
      </c>
      <c r="FE47" s="942">
        <f t="shared" si="42"/>
        <v>0.85</v>
      </c>
      <c r="FF47" s="938">
        <f t="shared" si="43"/>
        <v>829299.09164248127</v>
      </c>
      <c r="FG47" s="940">
        <f t="shared" si="44"/>
        <v>7453.9746856049978</v>
      </c>
      <c r="FH47" s="940">
        <f t="shared" si="45"/>
        <v>9628.8656347994838</v>
      </c>
      <c r="FI47" s="940">
        <f t="shared" si="46"/>
        <v>16421.115962944295</v>
      </c>
      <c r="FJ47" s="840"/>
      <c r="FK47" s="938">
        <f t="shared" ref="FK47:FK78" si="70">FD47-BC47</f>
        <v>-3443.10349810969</v>
      </c>
      <c r="FN47" s="957"/>
      <c r="FO47" s="957"/>
      <c r="FP47" s="957"/>
      <c r="FU47" s="957"/>
      <c r="FV47" s="957"/>
    </row>
    <row r="48" spans="1:178" s="717" customFormat="1" ht="14.5" x14ac:dyDescent="0.3">
      <c r="A48" s="813">
        <f t="shared" si="47"/>
        <v>37</v>
      </c>
      <c r="B48" s="813"/>
      <c r="C48" s="813" t="s">
        <v>376</v>
      </c>
      <c r="D48" s="813">
        <f t="shared" si="63"/>
        <v>11</v>
      </c>
      <c r="E48" s="813" t="s">
        <v>374</v>
      </c>
      <c r="F48" s="575" t="s">
        <v>510</v>
      </c>
      <c r="G48" s="575" t="s">
        <v>377</v>
      </c>
      <c r="H48" s="575">
        <v>13.5</v>
      </c>
      <c r="I48" s="814">
        <v>52000</v>
      </c>
      <c r="J48" s="815">
        <f t="shared" si="7"/>
        <v>702000</v>
      </c>
      <c r="K48" s="815">
        <v>40000</v>
      </c>
      <c r="L48" s="815"/>
      <c r="M48" s="815"/>
      <c r="N48" s="815">
        <f t="shared" si="8"/>
        <v>742000</v>
      </c>
      <c r="O48" s="815">
        <f t="shared" si="9"/>
        <v>18550</v>
      </c>
      <c r="P48" s="815">
        <f t="shared" si="10"/>
        <v>760550</v>
      </c>
      <c r="Q48" s="948">
        <f t="shared" si="11"/>
        <v>1.2500000000000001E-2</v>
      </c>
      <c r="R48" s="815">
        <f t="shared" si="12"/>
        <v>9506.875</v>
      </c>
      <c r="S48" s="955">
        <v>747.77850000000001</v>
      </c>
      <c r="T48" s="955">
        <f t="shared" si="13"/>
        <v>770804.65350000001</v>
      </c>
      <c r="U48" s="955"/>
      <c r="V48" s="955">
        <f t="shared" si="14"/>
        <v>28905.174506250001</v>
      </c>
      <c r="W48" s="955">
        <f t="shared" si="15"/>
        <v>799709.82800624997</v>
      </c>
      <c r="X48" s="955"/>
      <c r="Y48" s="955">
        <f t="shared" si="16"/>
        <v>799709.82800624997</v>
      </c>
      <c r="Z48" s="955"/>
      <c r="AA48" s="955">
        <f t="shared" si="17"/>
        <v>799709.82800624997</v>
      </c>
      <c r="AB48" s="955"/>
      <c r="AC48" s="955">
        <f t="shared" si="18"/>
        <v>799709.82800624997</v>
      </c>
      <c r="AD48" s="955"/>
      <c r="AE48" s="955">
        <f t="shared" si="19"/>
        <v>799709.82800624997</v>
      </c>
      <c r="AF48" s="955"/>
      <c r="AG48" s="955">
        <f t="shared" si="20"/>
        <v>799709.82800624997</v>
      </c>
      <c r="AH48" s="955"/>
      <c r="AI48" s="955">
        <f t="shared" si="21"/>
        <v>799709.82800624997</v>
      </c>
      <c r="AJ48" s="955"/>
      <c r="AK48" s="955">
        <f t="shared" si="22"/>
        <v>799709.82800624997</v>
      </c>
      <c r="AL48" s="955"/>
      <c r="AM48" s="955">
        <f t="shared" si="23"/>
        <v>799709.82800624997</v>
      </c>
      <c r="AN48" s="955"/>
      <c r="AO48" s="1000">
        <f t="shared" si="24"/>
        <v>799709.82800624997</v>
      </c>
      <c r="AP48" s="1000"/>
      <c r="AQ48" s="1000">
        <f t="shared" si="25"/>
        <v>799709.82800624997</v>
      </c>
      <c r="AR48" s="1000"/>
      <c r="AS48" s="1000">
        <f t="shared" si="26"/>
        <v>799709.82800624997</v>
      </c>
      <c r="AT48" s="815">
        <f t="shared" si="27"/>
        <v>799709.82800624997</v>
      </c>
      <c r="AU48" s="815">
        <f t="shared" si="28"/>
        <v>95965.179360749986</v>
      </c>
      <c r="AV48" s="815">
        <f t="shared" si="29"/>
        <v>79970.982800625003</v>
      </c>
      <c r="AW48" s="815">
        <f t="shared" si="57"/>
        <v>975645.99016762502</v>
      </c>
      <c r="AX48" s="816">
        <v>0.15</v>
      </c>
      <c r="AY48" s="815">
        <f t="shared" si="49"/>
        <v>146346.89852514374</v>
      </c>
      <c r="AZ48" s="815">
        <v>10000</v>
      </c>
      <c r="BA48" s="815">
        <f t="shared" si="50"/>
        <v>136346.89852514374</v>
      </c>
      <c r="BB48" s="815">
        <f t="shared" si="60"/>
        <v>18</v>
      </c>
      <c r="BC48" s="814">
        <f t="shared" si="51"/>
        <v>7574.8276958413189</v>
      </c>
      <c r="BD48" s="817">
        <f t="shared" si="31"/>
        <v>0.85</v>
      </c>
      <c r="BE48" s="815">
        <f t="shared" si="52"/>
        <v>829299.09164248127</v>
      </c>
      <c r="BF48" s="833">
        <f t="shared" si="32"/>
        <v>7453.9746856049978</v>
      </c>
      <c r="BG48" s="833">
        <f t="shared" si="33"/>
        <v>9628.8656347994838</v>
      </c>
      <c r="BH48" s="833">
        <f t="shared" si="34"/>
        <v>16421.115962944295</v>
      </c>
      <c r="BJ48" s="818"/>
      <c r="BK48" s="818"/>
      <c r="BL48" s="907">
        <f t="shared" si="64"/>
        <v>45839</v>
      </c>
      <c r="BM48" s="908">
        <f t="shared" si="35"/>
        <v>21</v>
      </c>
      <c r="BN48" s="909"/>
      <c r="BO48" s="907">
        <f t="shared" si="36"/>
        <v>45904</v>
      </c>
      <c r="BP48" s="914">
        <f t="shared" si="61"/>
        <v>23</v>
      </c>
      <c r="BQ48" s="818"/>
      <c r="BR48" s="818"/>
      <c r="BS48" s="818"/>
      <c r="BT48" s="818"/>
      <c r="BU48" s="818"/>
      <c r="BV48" s="818"/>
      <c r="BW48" s="818"/>
      <c r="BX48" s="818"/>
      <c r="BY48" s="818"/>
      <c r="BZ48" s="818"/>
      <c r="CA48" s="968" t="s">
        <v>263</v>
      </c>
      <c r="CB48" s="812" t="s">
        <v>263</v>
      </c>
      <c r="CC48" s="832" t="b">
        <f t="shared" si="38"/>
        <v>1</v>
      </c>
      <c r="CD48" s="717" t="s">
        <v>263</v>
      </c>
      <c r="CE48" s="949" t="b">
        <f t="shared" si="39"/>
        <v>1</v>
      </c>
      <c r="CG48" s="842"/>
      <c r="CH48" s="878"/>
      <c r="ED48" s="947"/>
      <c r="EF48" s="947"/>
      <c r="EG48" s="947"/>
      <c r="EH48" s="947"/>
      <c r="EI48" s="947"/>
      <c r="EJ48" s="947"/>
      <c r="EK48" s="947"/>
      <c r="EL48" s="947"/>
      <c r="EW48" s="840"/>
      <c r="EX48" s="938">
        <f t="shared" si="65"/>
        <v>975645.99016762502</v>
      </c>
      <c r="EY48" s="942">
        <f t="shared" si="66"/>
        <v>0.15</v>
      </c>
      <c r="EZ48" s="938">
        <f t="shared" si="67"/>
        <v>146346.89852514374</v>
      </c>
      <c r="FA48" s="938">
        <f t="shared" si="68"/>
        <v>10000</v>
      </c>
      <c r="FB48" s="938">
        <f t="shared" si="69"/>
        <v>136346.89852514374</v>
      </c>
      <c r="FC48" s="813">
        <f t="shared" si="62"/>
        <v>33</v>
      </c>
      <c r="FD48" s="814">
        <f t="shared" si="41"/>
        <v>4131.7241977316289</v>
      </c>
      <c r="FE48" s="942">
        <f t="shared" si="42"/>
        <v>0.85</v>
      </c>
      <c r="FF48" s="938">
        <f t="shared" si="43"/>
        <v>829299.09164248127</v>
      </c>
      <c r="FG48" s="940">
        <f t="shared" si="44"/>
        <v>7453.9746856049978</v>
      </c>
      <c r="FH48" s="940">
        <f t="shared" si="45"/>
        <v>9628.8656347994838</v>
      </c>
      <c r="FI48" s="940">
        <f t="shared" si="46"/>
        <v>16421.115962944295</v>
      </c>
      <c r="FJ48" s="840"/>
      <c r="FK48" s="938">
        <f t="shared" si="70"/>
        <v>-3443.10349810969</v>
      </c>
      <c r="FN48" s="957"/>
      <c r="FO48" s="957"/>
      <c r="FP48" s="957"/>
      <c r="FU48" s="957"/>
      <c r="FV48" s="957"/>
    </row>
    <row r="49" spans="1:178" s="717" customFormat="1" ht="14.5" x14ac:dyDescent="0.3">
      <c r="A49" s="813">
        <f t="shared" si="47"/>
        <v>38</v>
      </c>
      <c r="B49" s="813"/>
      <c r="C49" s="813" t="s">
        <v>376</v>
      </c>
      <c r="D49" s="813">
        <f t="shared" si="63"/>
        <v>12</v>
      </c>
      <c r="E49" s="813" t="s">
        <v>374</v>
      </c>
      <c r="F49" s="575" t="s">
        <v>511</v>
      </c>
      <c r="G49" s="575" t="s">
        <v>377</v>
      </c>
      <c r="H49" s="575">
        <v>13.5</v>
      </c>
      <c r="I49" s="814">
        <v>52000</v>
      </c>
      <c r="J49" s="815">
        <f t="shared" si="7"/>
        <v>702000</v>
      </c>
      <c r="K49" s="815">
        <v>40000</v>
      </c>
      <c r="L49" s="815"/>
      <c r="M49" s="815"/>
      <c r="N49" s="815">
        <f t="shared" si="8"/>
        <v>742000</v>
      </c>
      <c r="O49" s="815">
        <f t="shared" si="9"/>
        <v>18550</v>
      </c>
      <c r="P49" s="815">
        <f t="shared" si="10"/>
        <v>760550</v>
      </c>
      <c r="Q49" s="948">
        <f t="shared" si="11"/>
        <v>1.2500000000000001E-2</v>
      </c>
      <c r="R49" s="815">
        <f t="shared" si="12"/>
        <v>9506.875</v>
      </c>
      <c r="S49" s="955">
        <v>747.77850000000001</v>
      </c>
      <c r="T49" s="955">
        <f t="shared" si="13"/>
        <v>770804.65350000001</v>
      </c>
      <c r="U49" s="955"/>
      <c r="V49" s="955">
        <f t="shared" si="14"/>
        <v>28905.174506250001</v>
      </c>
      <c r="W49" s="955">
        <f t="shared" si="15"/>
        <v>799709.82800624997</v>
      </c>
      <c r="X49" s="955"/>
      <c r="Y49" s="955">
        <f t="shared" si="16"/>
        <v>799709.82800624997</v>
      </c>
      <c r="Z49" s="955"/>
      <c r="AA49" s="955">
        <f t="shared" si="17"/>
        <v>799709.82800624997</v>
      </c>
      <c r="AB49" s="955"/>
      <c r="AC49" s="955">
        <f t="shared" si="18"/>
        <v>799709.82800624997</v>
      </c>
      <c r="AD49" s="955"/>
      <c r="AE49" s="955">
        <f t="shared" si="19"/>
        <v>799709.82800624997</v>
      </c>
      <c r="AF49" s="955"/>
      <c r="AG49" s="955">
        <f t="shared" si="20"/>
        <v>799709.82800624997</v>
      </c>
      <c r="AH49" s="955"/>
      <c r="AI49" s="955">
        <f t="shared" si="21"/>
        <v>799709.82800624997</v>
      </c>
      <c r="AJ49" s="955"/>
      <c r="AK49" s="955">
        <f t="shared" si="22"/>
        <v>799709.82800624997</v>
      </c>
      <c r="AL49" s="955"/>
      <c r="AM49" s="955">
        <f t="shared" si="23"/>
        <v>799709.82800624997</v>
      </c>
      <c r="AN49" s="955"/>
      <c r="AO49" s="1000">
        <f t="shared" si="24"/>
        <v>799709.82800624997</v>
      </c>
      <c r="AP49" s="1000"/>
      <c r="AQ49" s="1000">
        <f t="shared" si="25"/>
        <v>799709.82800624997</v>
      </c>
      <c r="AR49" s="1000"/>
      <c r="AS49" s="1000">
        <f t="shared" si="26"/>
        <v>799709.82800624997</v>
      </c>
      <c r="AT49" s="815">
        <f t="shared" si="27"/>
        <v>799709.82800624997</v>
      </c>
      <c r="AU49" s="815">
        <f t="shared" si="28"/>
        <v>95965.179360749986</v>
      </c>
      <c r="AV49" s="815">
        <f t="shared" si="29"/>
        <v>79970.982800625003</v>
      </c>
      <c r="AW49" s="815">
        <f t="shared" si="57"/>
        <v>975645.99016762502</v>
      </c>
      <c r="AX49" s="816">
        <v>0.15</v>
      </c>
      <c r="AY49" s="815">
        <f t="shared" si="49"/>
        <v>146346.89852514374</v>
      </c>
      <c r="AZ49" s="815">
        <v>10000</v>
      </c>
      <c r="BA49" s="815">
        <f t="shared" si="50"/>
        <v>136346.89852514374</v>
      </c>
      <c r="BB49" s="815">
        <f t="shared" si="60"/>
        <v>18</v>
      </c>
      <c r="BC49" s="814">
        <f t="shared" si="51"/>
        <v>7574.8276958413189</v>
      </c>
      <c r="BD49" s="817">
        <f t="shared" si="31"/>
        <v>0.85</v>
      </c>
      <c r="BE49" s="815">
        <f t="shared" si="52"/>
        <v>829299.09164248127</v>
      </c>
      <c r="BF49" s="833">
        <f t="shared" si="32"/>
        <v>7453.9746856049978</v>
      </c>
      <c r="BG49" s="833">
        <f t="shared" si="33"/>
        <v>9628.8656347994838</v>
      </c>
      <c r="BH49" s="833">
        <f t="shared" si="34"/>
        <v>16421.115962944295</v>
      </c>
      <c r="BJ49" s="818"/>
      <c r="BK49" s="818"/>
      <c r="BL49" s="907">
        <f t="shared" si="64"/>
        <v>45839</v>
      </c>
      <c r="BM49" s="908">
        <f t="shared" si="35"/>
        <v>21</v>
      </c>
      <c r="BN49" s="909"/>
      <c r="BO49" s="907">
        <f t="shared" si="36"/>
        <v>45904</v>
      </c>
      <c r="BP49" s="914">
        <f t="shared" si="61"/>
        <v>23</v>
      </c>
      <c r="BQ49" s="818"/>
      <c r="BR49" s="818"/>
      <c r="BS49" s="818"/>
      <c r="BT49" s="818"/>
      <c r="BU49" s="818"/>
      <c r="BV49" s="818"/>
      <c r="BW49" s="818"/>
      <c r="BX49" s="818"/>
      <c r="BY49" s="818"/>
      <c r="BZ49" s="818"/>
      <c r="CA49" s="968" t="s">
        <v>263</v>
      </c>
      <c r="CB49" s="812" t="s">
        <v>263</v>
      </c>
      <c r="CC49" s="832" t="b">
        <f t="shared" si="38"/>
        <v>1</v>
      </c>
      <c r="CD49" s="717" t="s">
        <v>263</v>
      </c>
      <c r="CE49" s="949" t="b">
        <f t="shared" si="39"/>
        <v>1</v>
      </c>
      <c r="CG49" s="842"/>
      <c r="CH49" s="878"/>
      <c r="ED49" s="947"/>
      <c r="EF49" s="947"/>
      <c r="EG49" s="947"/>
      <c r="EH49" s="947"/>
      <c r="EI49" s="947"/>
      <c r="EJ49" s="947"/>
      <c r="EK49" s="947"/>
      <c r="EL49" s="947"/>
      <c r="EW49" s="840"/>
      <c r="EX49" s="938">
        <f t="shared" si="65"/>
        <v>975645.99016762502</v>
      </c>
      <c r="EY49" s="942">
        <f t="shared" si="66"/>
        <v>0.15</v>
      </c>
      <c r="EZ49" s="938">
        <f t="shared" si="67"/>
        <v>146346.89852514374</v>
      </c>
      <c r="FA49" s="938">
        <f t="shared" si="68"/>
        <v>10000</v>
      </c>
      <c r="FB49" s="938">
        <f t="shared" si="69"/>
        <v>136346.89852514374</v>
      </c>
      <c r="FC49" s="813">
        <f t="shared" si="62"/>
        <v>33</v>
      </c>
      <c r="FD49" s="814">
        <f t="shared" si="41"/>
        <v>4131.7241977316289</v>
      </c>
      <c r="FE49" s="942">
        <f t="shared" si="42"/>
        <v>0.85</v>
      </c>
      <c r="FF49" s="938">
        <f t="shared" si="43"/>
        <v>829299.09164248127</v>
      </c>
      <c r="FG49" s="940">
        <f t="shared" si="44"/>
        <v>7453.9746856049978</v>
      </c>
      <c r="FH49" s="940">
        <f t="shared" si="45"/>
        <v>9628.8656347994838</v>
      </c>
      <c r="FI49" s="940">
        <f t="shared" si="46"/>
        <v>16421.115962944295</v>
      </c>
      <c r="FJ49" s="840"/>
      <c r="FK49" s="938">
        <f t="shared" si="70"/>
        <v>-3443.10349810969</v>
      </c>
      <c r="FN49" s="957"/>
      <c r="FO49" s="957"/>
      <c r="FP49" s="957"/>
      <c r="FU49" s="957"/>
      <c r="FV49" s="957"/>
    </row>
    <row r="50" spans="1:178" s="717" customFormat="1" ht="14.5" x14ac:dyDescent="0.3">
      <c r="A50" s="813">
        <f t="shared" si="47"/>
        <v>39</v>
      </c>
      <c r="B50" s="813"/>
      <c r="C50" s="813" t="s">
        <v>376</v>
      </c>
      <c r="D50" s="813">
        <f t="shared" si="63"/>
        <v>13</v>
      </c>
      <c r="E50" s="813" t="s">
        <v>374</v>
      </c>
      <c r="F50" s="575" t="s">
        <v>512</v>
      </c>
      <c r="G50" s="575" t="s">
        <v>377</v>
      </c>
      <c r="H50" s="575">
        <v>13.5</v>
      </c>
      <c r="I50" s="814">
        <v>52000</v>
      </c>
      <c r="J50" s="815">
        <f t="shared" si="7"/>
        <v>702000</v>
      </c>
      <c r="K50" s="815">
        <v>40000</v>
      </c>
      <c r="L50" s="815"/>
      <c r="M50" s="815"/>
      <c r="N50" s="815">
        <f t="shared" si="8"/>
        <v>742000</v>
      </c>
      <c r="O50" s="815">
        <f t="shared" si="9"/>
        <v>18550</v>
      </c>
      <c r="P50" s="815">
        <f t="shared" si="10"/>
        <v>760550</v>
      </c>
      <c r="Q50" s="948">
        <f t="shared" si="11"/>
        <v>1.2500000000000001E-2</v>
      </c>
      <c r="R50" s="815">
        <f t="shared" si="12"/>
        <v>9506.875</v>
      </c>
      <c r="S50" s="955">
        <v>747.77850000000001</v>
      </c>
      <c r="T50" s="955">
        <f t="shared" si="13"/>
        <v>770804.65350000001</v>
      </c>
      <c r="U50" s="955"/>
      <c r="V50" s="955">
        <f t="shared" si="14"/>
        <v>28905.174506250001</v>
      </c>
      <c r="W50" s="955">
        <f t="shared" si="15"/>
        <v>799709.82800624997</v>
      </c>
      <c r="X50" s="955"/>
      <c r="Y50" s="955">
        <f t="shared" si="16"/>
        <v>799709.82800624997</v>
      </c>
      <c r="Z50" s="955"/>
      <c r="AA50" s="955">
        <f t="shared" si="17"/>
        <v>799709.82800624997</v>
      </c>
      <c r="AB50" s="955"/>
      <c r="AC50" s="955">
        <f t="shared" si="18"/>
        <v>799709.82800624997</v>
      </c>
      <c r="AD50" s="955"/>
      <c r="AE50" s="955">
        <f t="shared" si="19"/>
        <v>799709.82800624997</v>
      </c>
      <c r="AF50" s="955"/>
      <c r="AG50" s="955">
        <f t="shared" si="20"/>
        <v>799709.82800624997</v>
      </c>
      <c r="AH50" s="955"/>
      <c r="AI50" s="955">
        <f t="shared" si="21"/>
        <v>799709.82800624997</v>
      </c>
      <c r="AJ50" s="955"/>
      <c r="AK50" s="955">
        <f t="shared" si="22"/>
        <v>799709.82800624997</v>
      </c>
      <c r="AL50" s="955"/>
      <c r="AM50" s="955">
        <f t="shared" si="23"/>
        <v>799709.82800624997</v>
      </c>
      <c r="AN50" s="955"/>
      <c r="AO50" s="1000">
        <f t="shared" si="24"/>
        <v>799709.82800624997</v>
      </c>
      <c r="AP50" s="1000"/>
      <c r="AQ50" s="1000">
        <f t="shared" si="25"/>
        <v>799709.82800624997</v>
      </c>
      <c r="AR50" s="1000"/>
      <c r="AS50" s="1000">
        <f t="shared" si="26"/>
        <v>799709.82800624997</v>
      </c>
      <c r="AT50" s="815">
        <f t="shared" si="27"/>
        <v>799709.82800624997</v>
      </c>
      <c r="AU50" s="815">
        <f t="shared" si="28"/>
        <v>95965.179360749986</v>
      </c>
      <c r="AV50" s="815">
        <f t="shared" si="29"/>
        <v>79970.982800625003</v>
      </c>
      <c r="AW50" s="815">
        <f t="shared" si="57"/>
        <v>975645.99016762502</v>
      </c>
      <c r="AX50" s="816">
        <v>0.15</v>
      </c>
      <c r="AY50" s="815">
        <f t="shared" si="49"/>
        <v>146346.89852514374</v>
      </c>
      <c r="AZ50" s="815">
        <v>10000</v>
      </c>
      <c r="BA50" s="815">
        <f t="shared" si="50"/>
        <v>136346.89852514374</v>
      </c>
      <c r="BB50" s="815">
        <f t="shared" si="60"/>
        <v>18</v>
      </c>
      <c r="BC50" s="814">
        <f t="shared" si="51"/>
        <v>7574.8276958413189</v>
      </c>
      <c r="BD50" s="817">
        <f t="shared" si="31"/>
        <v>0.85</v>
      </c>
      <c r="BE50" s="815">
        <f t="shared" si="52"/>
        <v>829299.09164248127</v>
      </c>
      <c r="BF50" s="833">
        <f t="shared" si="32"/>
        <v>7453.9746856049978</v>
      </c>
      <c r="BG50" s="833">
        <f t="shared" si="33"/>
        <v>9628.8656347994838</v>
      </c>
      <c r="BH50" s="833">
        <f t="shared" si="34"/>
        <v>16421.115962944295</v>
      </c>
      <c r="BJ50" s="818"/>
      <c r="BK50" s="818"/>
      <c r="BL50" s="907">
        <f t="shared" si="64"/>
        <v>45839</v>
      </c>
      <c r="BM50" s="908">
        <f t="shared" si="35"/>
        <v>21</v>
      </c>
      <c r="BN50" s="909"/>
      <c r="BO50" s="907">
        <f t="shared" si="36"/>
        <v>45904</v>
      </c>
      <c r="BP50" s="914">
        <f t="shared" si="61"/>
        <v>23</v>
      </c>
      <c r="BQ50" s="818"/>
      <c r="BR50" s="818"/>
      <c r="BS50" s="818"/>
      <c r="BT50" s="818"/>
      <c r="BU50" s="818"/>
      <c r="BV50" s="818"/>
      <c r="BW50" s="818"/>
      <c r="BX50" s="818"/>
      <c r="BY50" s="818"/>
      <c r="BZ50" s="818"/>
      <c r="CA50" s="968" t="s">
        <v>263</v>
      </c>
      <c r="CB50" s="812" t="s">
        <v>263</v>
      </c>
      <c r="CC50" s="832" t="b">
        <f t="shared" si="38"/>
        <v>1</v>
      </c>
      <c r="CD50" s="717" t="s">
        <v>263</v>
      </c>
      <c r="CE50" s="949" t="b">
        <f t="shared" si="39"/>
        <v>1</v>
      </c>
      <c r="CG50" s="842"/>
      <c r="CH50" s="878"/>
      <c r="ED50" s="947"/>
      <c r="EF50" s="947"/>
      <c r="EG50" s="947"/>
      <c r="EH50" s="947"/>
      <c r="EI50" s="947"/>
      <c r="EJ50" s="947"/>
      <c r="EK50" s="947"/>
      <c r="EL50" s="947"/>
      <c r="EW50" s="840"/>
      <c r="EX50" s="938">
        <f t="shared" si="65"/>
        <v>975645.99016762502</v>
      </c>
      <c r="EY50" s="942">
        <f t="shared" si="66"/>
        <v>0.15</v>
      </c>
      <c r="EZ50" s="938">
        <f t="shared" si="67"/>
        <v>146346.89852514374</v>
      </c>
      <c r="FA50" s="938">
        <f t="shared" si="68"/>
        <v>10000</v>
      </c>
      <c r="FB50" s="938">
        <f t="shared" si="69"/>
        <v>136346.89852514374</v>
      </c>
      <c r="FC50" s="813">
        <f t="shared" si="62"/>
        <v>33</v>
      </c>
      <c r="FD50" s="814">
        <f t="shared" si="41"/>
        <v>4131.7241977316289</v>
      </c>
      <c r="FE50" s="942">
        <f t="shared" si="42"/>
        <v>0.85</v>
      </c>
      <c r="FF50" s="938">
        <f t="shared" si="43"/>
        <v>829299.09164248127</v>
      </c>
      <c r="FG50" s="940">
        <f t="shared" si="44"/>
        <v>7453.9746856049978</v>
      </c>
      <c r="FH50" s="940">
        <f t="shared" si="45"/>
        <v>9628.8656347994838</v>
      </c>
      <c r="FI50" s="940">
        <f t="shared" si="46"/>
        <v>16421.115962944295</v>
      </c>
      <c r="FJ50" s="840"/>
      <c r="FK50" s="938">
        <f t="shared" si="70"/>
        <v>-3443.10349810969</v>
      </c>
      <c r="FN50" s="957"/>
      <c r="FO50" s="957"/>
      <c r="FP50" s="957"/>
      <c r="FU50" s="957"/>
      <c r="FV50" s="957"/>
    </row>
    <row r="51" spans="1:178" s="717" customFormat="1" ht="14.5" x14ac:dyDescent="0.3">
      <c r="A51" s="813">
        <f t="shared" si="47"/>
        <v>40</v>
      </c>
      <c r="B51" s="813"/>
      <c r="C51" s="813" t="s">
        <v>376</v>
      </c>
      <c r="D51" s="813">
        <f t="shared" si="63"/>
        <v>14</v>
      </c>
      <c r="E51" s="813" t="s">
        <v>374</v>
      </c>
      <c r="F51" s="575" t="s">
        <v>513</v>
      </c>
      <c r="G51" s="575" t="s">
        <v>377</v>
      </c>
      <c r="H51" s="575">
        <v>13.5</v>
      </c>
      <c r="I51" s="814">
        <v>52000</v>
      </c>
      <c r="J51" s="815">
        <f t="shared" si="7"/>
        <v>702000</v>
      </c>
      <c r="K51" s="815">
        <v>40000</v>
      </c>
      <c r="L51" s="815"/>
      <c r="M51" s="815"/>
      <c r="N51" s="815">
        <f t="shared" si="8"/>
        <v>742000</v>
      </c>
      <c r="O51" s="815">
        <f t="shared" si="9"/>
        <v>18550</v>
      </c>
      <c r="P51" s="815">
        <f t="shared" si="10"/>
        <v>760550</v>
      </c>
      <c r="Q51" s="948">
        <f t="shared" si="11"/>
        <v>1.2500000000000001E-2</v>
      </c>
      <c r="R51" s="815">
        <f t="shared" si="12"/>
        <v>9506.875</v>
      </c>
      <c r="S51" s="955" t="s">
        <v>450</v>
      </c>
      <c r="T51" s="955">
        <f t="shared" si="13"/>
        <v>770056.875</v>
      </c>
      <c r="U51" s="955"/>
      <c r="V51" s="955">
        <f t="shared" si="14"/>
        <v>28877.1328125</v>
      </c>
      <c r="W51" s="955">
        <f t="shared" si="15"/>
        <v>798934.0078125</v>
      </c>
      <c r="X51" s="955"/>
      <c r="Y51" s="955">
        <f t="shared" si="16"/>
        <v>798934.0078125</v>
      </c>
      <c r="Z51" s="955"/>
      <c r="AA51" s="955">
        <f t="shared" si="17"/>
        <v>798934.0078125</v>
      </c>
      <c r="AB51" s="955"/>
      <c r="AC51" s="955">
        <f t="shared" si="18"/>
        <v>798934.0078125</v>
      </c>
      <c r="AD51" s="955"/>
      <c r="AE51" s="955">
        <f t="shared" si="19"/>
        <v>798934.0078125</v>
      </c>
      <c r="AF51" s="955"/>
      <c r="AG51" s="955">
        <f t="shared" si="20"/>
        <v>798934.0078125</v>
      </c>
      <c r="AH51" s="955"/>
      <c r="AI51" s="955">
        <f t="shared" si="21"/>
        <v>798934.0078125</v>
      </c>
      <c r="AJ51" s="955"/>
      <c r="AK51" s="955">
        <f t="shared" si="22"/>
        <v>798934.0078125</v>
      </c>
      <c r="AL51" s="955"/>
      <c r="AM51" s="955">
        <f t="shared" si="23"/>
        <v>798934.0078125</v>
      </c>
      <c r="AN51" s="955"/>
      <c r="AO51" s="1000">
        <f t="shared" si="24"/>
        <v>798934.0078125</v>
      </c>
      <c r="AP51" s="1000"/>
      <c r="AQ51" s="1000">
        <f t="shared" si="25"/>
        <v>798934.0078125</v>
      </c>
      <c r="AR51" s="1000"/>
      <c r="AS51" s="1000">
        <f t="shared" si="26"/>
        <v>798934.0078125</v>
      </c>
      <c r="AT51" s="815">
        <f t="shared" si="27"/>
        <v>798934.0078125</v>
      </c>
      <c r="AU51" s="815">
        <f t="shared" si="28"/>
        <v>95872.080937499995</v>
      </c>
      <c r="AV51" s="815">
        <f t="shared" si="29"/>
        <v>79893.400781250006</v>
      </c>
      <c r="AW51" s="815">
        <f t="shared" si="57"/>
        <v>974699.48953124997</v>
      </c>
      <c r="AX51" s="816">
        <v>0.15</v>
      </c>
      <c r="AY51" s="815">
        <f t="shared" si="49"/>
        <v>146204.92342968748</v>
      </c>
      <c r="AZ51" s="815">
        <v>10000</v>
      </c>
      <c r="BA51" s="815">
        <f t="shared" si="50"/>
        <v>136204.92342968748</v>
      </c>
      <c r="BB51" s="815">
        <f t="shared" si="60"/>
        <v>18</v>
      </c>
      <c r="BC51" s="814">
        <f t="shared" si="51"/>
        <v>7566.9401905381928</v>
      </c>
      <c r="BD51" s="817">
        <f t="shared" si="31"/>
        <v>0.85</v>
      </c>
      <c r="BE51" s="815">
        <f t="shared" si="52"/>
        <v>828494.56610156246</v>
      </c>
      <c r="BF51" s="833">
        <f t="shared" si="32"/>
        <v>7446.743382596992</v>
      </c>
      <c r="BG51" s="833">
        <f t="shared" si="33"/>
        <v>9619.5244110946223</v>
      </c>
      <c r="BH51" s="833">
        <f t="shared" si="34"/>
        <v>16405.185392977779</v>
      </c>
      <c r="BJ51" s="818"/>
      <c r="BK51" s="818"/>
      <c r="BL51" s="907">
        <f t="shared" si="64"/>
        <v>45839</v>
      </c>
      <c r="BM51" s="908">
        <f t="shared" si="35"/>
        <v>21</v>
      </c>
      <c r="BN51" s="909"/>
      <c r="BO51" s="907">
        <f t="shared" si="36"/>
        <v>45904</v>
      </c>
      <c r="BP51" s="914">
        <f t="shared" si="61"/>
        <v>23</v>
      </c>
      <c r="BQ51" s="818"/>
      <c r="BR51" s="818"/>
      <c r="BS51" s="818"/>
      <c r="BT51" s="818"/>
      <c r="BU51" s="818"/>
      <c r="BV51" s="818"/>
      <c r="BW51" s="818"/>
      <c r="BX51" s="818"/>
      <c r="BY51" s="818"/>
      <c r="BZ51" s="818"/>
      <c r="CA51" s="968" t="s">
        <v>263</v>
      </c>
      <c r="CB51" s="812" t="s">
        <v>263</v>
      </c>
      <c r="CC51" s="832" t="b">
        <f t="shared" si="38"/>
        <v>1</v>
      </c>
      <c r="CD51" s="717" t="s">
        <v>263</v>
      </c>
      <c r="CE51" s="949" t="b">
        <f t="shared" si="39"/>
        <v>1</v>
      </c>
      <c r="CG51" s="842"/>
      <c r="CH51" s="878"/>
      <c r="ED51" s="947"/>
      <c r="EF51" s="947"/>
      <c r="EG51" s="947"/>
      <c r="EH51" s="947"/>
      <c r="EI51" s="947"/>
      <c r="EJ51" s="947"/>
      <c r="EK51" s="947"/>
      <c r="EL51" s="947"/>
      <c r="EW51" s="840"/>
      <c r="EX51" s="938">
        <f t="shared" si="65"/>
        <v>974699.48953124997</v>
      </c>
      <c r="EY51" s="942">
        <f t="shared" si="66"/>
        <v>0.15</v>
      </c>
      <c r="EZ51" s="938">
        <f t="shared" si="67"/>
        <v>146204.92342968748</v>
      </c>
      <c r="FA51" s="938">
        <f t="shared" si="68"/>
        <v>10000</v>
      </c>
      <c r="FB51" s="938">
        <f t="shared" si="69"/>
        <v>136204.92342968748</v>
      </c>
      <c r="FC51" s="813">
        <f t="shared" si="62"/>
        <v>33</v>
      </c>
      <c r="FD51" s="814">
        <f t="shared" si="41"/>
        <v>4127.4219221117419</v>
      </c>
      <c r="FE51" s="942">
        <f t="shared" si="42"/>
        <v>0.85</v>
      </c>
      <c r="FF51" s="938">
        <f t="shared" si="43"/>
        <v>828494.56610156246</v>
      </c>
      <c r="FG51" s="940">
        <f t="shared" si="44"/>
        <v>7446.743382596992</v>
      </c>
      <c r="FH51" s="940">
        <f t="shared" si="45"/>
        <v>9619.5244110946223</v>
      </c>
      <c r="FI51" s="940">
        <f t="shared" si="46"/>
        <v>16405.185392977779</v>
      </c>
      <c r="FJ51" s="840"/>
      <c r="FK51" s="938">
        <f t="shared" si="70"/>
        <v>-3439.518268426451</v>
      </c>
      <c r="FN51" s="957"/>
      <c r="FO51" s="957"/>
      <c r="FP51" s="957"/>
      <c r="FU51" s="957"/>
      <c r="FV51" s="957"/>
    </row>
    <row r="52" spans="1:178" s="717" customFormat="1" ht="14.5" x14ac:dyDescent="0.3">
      <c r="A52" s="813">
        <f t="shared" si="47"/>
        <v>41</v>
      </c>
      <c r="B52" s="813"/>
      <c r="C52" s="813" t="s">
        <v>376</v>
      </c>
      <c r="D52" s="813">
        <f t="shared" si="63"/>
        <v>15</v>
      </c>
      <c r="E52" s="813" t="s">
        <v>374</v>
      </c>
      <c r="F52" s="575" t="s">
        <v>514</v>
      </c>
      <c r="G52" s="575" t="s">
        <v>377</v>
      </c>
      <c r="H52" s="575">
        <v>13.5</v>
      </c>
      <c r="I52" s="814">
        <v>52000</v>
      </c>
      <c r="J52" s="815">
        <f t="shared" si="7"/>
        <v>702000</v>
      </c>
      <c r="K52" s="815">
        <v>40000</v>
      </c>
      <c r="L52" s="815"/>
      <c r="M52" s="815"/>
      <c r="N52" s="815">
        <f t="shared" si="8"/>
        <v>742000</v>
      </c>
      <c r="O52" s="815">
        <f t="shared" si="9"/>
        <v>18550</v>
      </c>
      <c r="P52" s="815">
        <f t="shared" si="10"/>
        <v>760550</v>
      </c>
      <c r="Q52" s="948">
        <f t="shared" si="11"/>
        <v>1.2500000000000001E-2</v>
      </c>
      <c r="R52" s="815">
        <f t="shared" si="12"/>
        <v>9506.875</v>
      </c>
      <c r="S52" s="955">
        <v>747.77850000000001</v>
      </c>
      <c r="T52" s="955">
        <f t="shared" si="13"/>
        <v>770804.65350000001</v>
      </c>
      <c r="U52" s="955"/>
      <c r="V52" s="955">
        <f t="shared" si="14"/>
        <v>28905.174506250001</v>
      </c>
      <c r="W52" s="955">
        <f t="shared" si="15"/>
        <v>799709.82800624997</v>
      </c>
      <c r="X52" s="955"/>
      <c r="Y52" s="955">
        <f t="shared" si="16"/>
        <v>799709.82800624997</v>
      </c>
      <c r="Z52" s="955"/>
      <c r="AA52" s="955">
        <f t="shared" si="17"/>
        <v>799709.82800624997</v>
      </c>
      <c r="AB52" s="955"/>
      <c r="AC52" s="955">
        <f t="shared" si="18"/>
        <v>799709.82800624997</v>
      </c>
      <c r="AD52" s="955"/>
      <c r="AE52" s="955">
        <f t="shared" si="19"/>
        <v>799709.82800624997</v>
      </c>
      <c r="AF52" s="955"/>
      <c r="AG52" s="955">
        <f t="shared" si="20"/>
        <v>799709.82800624997</v>
      </c>
      <c r="AH52" s="955"/>
      <c r="AI52" s="955">
        <f t="shared" si="21"/>
        <v>799709.82800624997</v>
      </c>
      <c r="AJ52" s="955"/>
      <c r="AK52" s="955">
        <f t="shared" si="22"/>
        <v>799709.82800624997</v>
      </c>
      <c r="AL52" s="955"/>
      <c r="AM52" s="955">
        <f t="shared" si="23"/>
        <v>799709.82800624997</v>
      </c>
      <c r="AN52" s="955"/>
      <c r="AO52" s="1000">
        <f t="shared" si="24"/>
        <v>799709.82800624997</v>
      </c>
      <c r="AP52" s="1000"/>
      <c r="AQ52" s="1000">
        <f t="shared" si="25"/>
        <v>799709.82800624997</v>
      </c>
      <c r="AR52" s="1000"/>
      <c r="AS52" s="1000">
        <f t="shared" si="26"/>
        <v>799709.82800624997</v>
      </c>
      <c r="AT52" s="815">
        <f t="shared" si="27"/>
        <v>799709.82800624997</v>
      </c>
      <c r="AU52" s="815">
        <f t="shared" si="28"/>
        <v>95965.179360749986</v>
      </c>
      <c r="AV52" s="815">
        <f t="shared" si="29"/>
        <v>79970.982800625003</v>
      </c>
      <c r="AW52" s="815">
        <f t="shared" si="57"/>
        <v>975645.99016762502</v>
      </c>
      <c r="AX52" s="816">
        <v>0.15</v>
      </c>
      <c r="AY52" s="815">
        <f t="shared" si="49"/>
        <v>146346.89852514374</v>
      </c>
      <c r="AZ52" s="815">
        <v>10000</v>
      </c>
      <c r="BA52" s="815">
        <f t="shared" si="50"/>
        <v>136346.89852514374</v>
      </c>
      <c r="BB52" s="815">
        <f t="shared" si="60"/>
        <v>18</v>
      </c>
      <c r="BC52" s="814">
        <f t="shared" si="51"/>
        <v>7574.8276958413189</v>
      </c>
      <c r="BD52" s="817">
        <f t="shared" si="31"/>
        <v>0.85</v>
      </c>
      <c r="BE52" s="815">
        <f t="shared" si="52"/>
        <v>829299.09164248127</v>
      </c>
      <c r="BF52" s="833">
        <f t="shared" si="32"/>
        <v>7453.9746856049978</v>
      </c>
      <c r="BG52" s="833">
        <f t="shared" si="33"/>
        <v>9628.8656347994838</v>
      </c>
      <c r="BH52" s="833">
        <f t="shared" si="34"/>
        <v>16421.115962944295</v>
      </c>
      <c r="BK52" s="818"/>
      <c r="BL52" s="907">
        <f t="shared" si="64"/>
        <v>45839</v>
      </c>
      <c r="BM52" s="908">
        <f t="shared" si="35"/>
        <v>21</v>
      </c>
      <c r="BN52" s="909"/>
      <c r="BO52" s="907">
        <f t="shared" si="36"/>
        <v>45904</v>
      </c>
      <c r="BP52" s="914">
        <f t="shared" si="61"/>
        <v>23</v>
      </c>
      <c r="BQ52" s="818"/>
      <c r="BR52" s="818"/>
      <c r="BS52" s="818"/>
      <c r="BT52" s="818"/>
      <c r="BU52" s="818"/>
      <c r="BV52" s="818"/>
      <c r="BW52" s="818"/>
      <c r="BX52" s="818"/>
      <c r="BY52" s="818"/>
      <c r="BZ52" s="818"/>
      <c r="CA52" s="968" t="s">
        <v>263</v>
      </c>
      <c r="CB52" s="812" t="s">
        <v>263</v>
      </c>
      <c r="CC52" s="832" t="b">
        <f t="shared" si="38"/>
        <v>1</v>
      </c>
      <c r="CD52" s="717" t="s">
        <v>263</v>
      </c>
      <c r="CE52" s="949" t="b">
        <f t="shared" si="39"/>
        <v>1</v>
      </c>
      <c r="CG52" s="842"/>
      <c r="CH52" s="878"/>
      <c r="ED52" s="947"/>
      <c r="EF52" s="947"/>
      <c r="EG52" s="947"/>
      <c r="EH52" s="947"/>
      <c r="EI52" s="947"/>
      <c r="EJ52" s="947"/>
      <c r="EK52" s="947"/>
      <c r="EL52" s="947"/>
      <c r="EW52" s="840"/>
      <c r="EX52" s="938">
        <f t="shared" si="65"/>
        <v>975645.99016762502</v>
      </c>
      <c r="EY52" s="942">
        <f t="shared" si="66"/>
        <v>0.15</v>
      </c>
      <c r="EZ52" s="938">
        <f t="shared" si="67"/>
        <v>146346.89852514374</v>
      </c>
      <c r="FA52" s="938">
        <f t="shared" si="68"/>
        <v>10000</v>
      </c>
      <c r="FB52" s="938">
        <f t="shared" si="69"/>
        <v>136346.89852514374</v>
      </c>
      <c r="FC52" s="813">
        <f t="shared" si="62"/>
        <v>33</v>
      </c>
      <c r="FD52" s="814">
        <f t="shared" si="41"/>
        <v>4131.7241977316289</v>
      </c>
      <c r="FE52" s="942">
        <f t="shared" si="42"/>
        <v>0.85</v>
      </c>
      <c r="FF52" s="938">
        <f t="shared" si="43"/>
        <v>829299.09164248127</v>
      </c>
      <c r="FG52" s="940">
        <f t="shared" si="44"/>
        <v>7453.9746856049978</v>
      </c>
      <c r="FH52" s="940">
        <f t="shared" si="45"/>
        <v>9628.8656347994838</v>
      </c>
      <c r="FI52" s="940">
        <f t="shared" si="46"/>
        <v>16421.115962944295</v>
      </c>
      <c r="FJ52" s="840"/>
      <c r="FK52" s="938">
        <f t="shared" si="70"/>
        <v>-3443.10349810969</v>
      </c>
      <c r="FN52" s="957"/>
      <c r="FO52" s="957"/>
      <c r="FP52" s="957"/>
      <c r="FU52" s="957"/>
      <c r="FV52" s="957"/>
    </row>
    <row r="53" spans="1:178" s="717" customFormat="1" ht="14.5" x14ac:dyDescent="0.3">
      <c r="A53" s="813">
        <f t="shared" si="47"/>
        <v>42</v>
      </c>
      <c r="B53" s="813"/>
      <c r="C53" s="813" t="s">
        <v>376</v>
      </c>
      <c r="D53" s="813">
        <f t="shared" si="63"/>
        <v>16</v>
      </c>
      <c r="E53" s="813" t="s">
        <v>374</v>
      </c>
      <c r="F53" s="575" t="s">
        <v>515</v>
      </c>
      <c r="G53" s="575" t="s">
        <v>377</v>
      </c>
      <c r="H53" s="575">
        <v>13.5</v>
      </c>
      <c r="I53" s="814">
        <v>52000</v>
      </c>
      <c r="J53" s="815">
        <f t="shared" si="7"/>
        <v>702000</v>
      </c>
      <c r="K53" s="815">
        <v>40000</v>
      </c>
      <c r="L53" s="815"/>
      <c r="M53" s="815"/>
      <c r="N53" s="815">
        <f t="shared" si="8"/>
        <v>742000</v>
      </c>
      <c r="O53" s="815">
        <f t="shared" si="9"/>
        <v>18550</v>
      </c>
      <c r="P53" s="815">
        <f t="shared" si="10"/>
        <v>760550</v>
      </c>
      <c r="Q53" s="948">
        <f t="shared" si="11"/>
        <v>1.2500000000000001E-2</v>
      </c>
      <c r="R53" s="815">
        <f t="shared" si="12"/>
        <v>9506.875</v>
      </c>
      <c r="S53" s="955">
        <v>747.77850000000001</v>
      </c>
      <c r="T53" s="955">
        <f t="shared" si="13"/>
        <v>770804.65350000001</v>
      </c>
      <c r="U53" s="955"/>
      <c r="V53" s="955">
        <f t="shared" si="14"/>
        <v>28905.174506250001</v>
      </c>
      <c r="W53" s="955">
        <f t="shared" si="15"/>
        <v>799709.82800624997</v>
      </c>
      <c r="X53" s="955"/>
      <c r="Y53" s="955">
        <f t="shared" si="16"/>
        <v>799709.82800624997</v>
      </c>
      <c r="Z53" s="955"/>
      <c r="AA53" s="955">
        <f t="shared" si="17"/>
        <v>799709.82800624997</v>
      </c>
      <c r="AB53" s="955"/>
      <c r="AC53" s="955">
        <f t="shared" si="18"/>
        <v>799709.82800624997</v>
      </c>
      <c r="AD53" s="955"/>
      <c r="AE53" s="955">
        <f t="shared" si="19"/>
        <v>799709.82800624997</v>
      </c>
      <c r="AF53" s="955"/>
      <c r="AG53" s="955">
        <f t="shared" si="20"/>
        <v>799709.82800624997</v>
      </c>
      <c r="AH53" s="955"/>
      <c r="AI53" s="955">
        <f t="shared" si="21"/>
        <v>799709.82800624997</v>
      </c>
      <c r="AJ53" s="955"/>
      <c r="AK53" s="955">
        <f t="shared" si="22"/>
        <v>799709.82800624997</v>
      </c>
      <c r="AL53" s="955"/>
      <c r="AM53" s="955">
        <f t="shared" si="23"/>
        <v>799709.82800624997</v>
      </c>
      <c r="AN53" s="955"/>
      <c r="AO53" s="1000">
        <f t="shared" si="24"/>
        <v>799709.82800624997</v>
      </c>
      <c r="AP53" s="1000"/>
      <c r="AQ53" s="1000">
        <f t="shared" si="25"/>
        <v>799709.82800624997</v>
      </c>
      <c r="AR53" s="1000"/>
      <c r="AS53" s="1000">
        <f t="shared" si="26"/>
        <v>799709.82800624997</v>
      </c>
      <c r="AT53" s="815">
        <f t="shared" si="27"/>
        <v>799709.82800624997</v>
      </c>
      <c r="AU53" s="815">
        <f t="shared" si="28"/>
        <v>95965.179360749986</v>
      </c>
      <c r="AV53" s="815">
        <f t="shared" si="29"/>
        <v>79970.982800625003</v>
      </c>
      <c r="AW53" s="815">
        <f t="shared" si="57"/>
        <v>975645.99016762502</v>
      </c>
      <c r="AX53" s="816">
        <v>0.15</v>
      </c>
      <c r="AY53" s="815">
        <f t="shared" si="49"/>
        <v>146346.89852514374</v>
      </c>
      <c r="AZ53" s="815">
        <v>10000</v>
      </c>
      <c r="BA53" s="815">
        <f t="shared" si="50"/>
        <v>136346.89852514374</v>
      </c>
      <c r="BB53" s="815">
        <f t="shared" si="60"/>
        <v>18</v>
      </c>
      <c r="BC53" s="814">
        <f t="shared" si="51"/>
        <v>7574.8276958413189</v>
      </c>
      <c r="BD53" s="817">
        <f t="shared" si="31"/>
        <v>0.85</v>
      </c>
      <c r="BE53" s="815">
        <f t="shared" si="52"/>
        <v>829299.09164248127</v>
      </c>
      <c r="BF53" s="833">
        <f t="shared" si="32"/>
        <v>7453.9746856049978</v>
      </c>
      <c r="BG53" s="833">
        <f t="shared" si="33"/>
        <v>9628.8656347994838</v>
      </c>
      <c r="BH53" s="833">
        <f t="shared" si="34"/>
        <v>16421.115962944295</v>
      </c>
      <c r="BK53" s="818"/>
      <c r="BL53" s="907">
        <f t="shared" si="64"/>
        <v>45839</v>
      </c>
      <c r="BM53" s="908">
        <f t="shared" si="35"/>
        <v>21</v>
      </c>
      <c r="BN53" s="909"/>
      <c r="BO53" s="907">
        <f t="shared" si="36"/>
        <v>45904</v>
      </c>
      <c r="BP53" s="914">
        <f t="shared" si="61"/>
        <v>23</v>
      </c>
      <c r="BQ53" s="818"/>
      <c r="BR53" s="818"/>
      <c r="BS53" s="818"/>
      <c r="BT53" s="818"/>
      <c r="BU53" s="818"/>
      <c r="BV53" s="818"/>
      <c r="BW53" s="818"/>
      <c r="BX53" s="818"/>
      <c r="BY53" s="818"/>
      <c r="BZ53" s="818"/>
      <c r="CA53" s="968" t="s">
        <v>263</v>
      </c>
      <c r="CB53" s="812" t="s">
        <v>263</v>
      </c>
      <c r="CC53" s="832" t="b">
        <f t="shared" si="38"/>
        <v>1</v>
      </c>
      <c r="CD53" s="717" t="s">
        <v>263</v>
      </c>
      <c r="CE53" s="949" t="b">
        <f t="shared" si="39"/>
        <v>1</v>
      </c>
      <c r="CG53" s="842"/>
      <c r="CH53" s="878"/>
      <c r="ED53" s="947"/>
      <c r="EF53" s="947"/>
      <c r="EG53" s="947"/>
      <c r="EH53" s="947"/>
      <c r="EI53" s="947"/>
      <c r="EJ53" s="947"/>
      <c r="EK53" s="947"/>
      <c r="EL53" s="947"/>
      <c r="EW53" s="840"/>
      <c r="EX53" s="938">
        <f t="shared" si="65"/>
        <v>975645.99016762502</v>
      </c>
      <c r="EY53" s="942">
        <f t="shared" si="66"/>
        <v>0.15</v>
      </c>
      <c r="EZ53" s="938">
        <f t="shared" si="67"/>
        <v>146346.89852514374</v>
      </c>
      <c r="FA53" s="938">
        <f t="shared" si="68"/>
        <v>10000</v>
      </c>
      <c r="FB53" s="938">
        <f t="shared" si="69"/>
        <v>136346.89852514374</v>
      </c>
      <c r="FC53" s="813">
        <f t="shared" si="62"/>
        <v>33</v>
      </c>
      <c r="FD53" s="814">
        <f t="shared" si="41"/>
        <v>4131.7241977316289</v>
      </c>
      <c r="FE53" s="942">
        <f t="shared" si="42"/>
        <v>0.85</v>
      </c>
      <c r="FF53" s="938">
        <f t="shared" si="43"/>
        <v>829299.09164248127</v>
      </c>
      <c r="FG53" s="940">
        <f t="shared" si="44"/>
        <v>7453.9746856049978</v>
      </c>
      <c r="FH53" s="940">
        <f t="shared" si="45"/>
        <v>9628.8656347994838</v>
      </c>
      <c r="FI53" s="940">
        <f t="shared" si="46"/>
        <v>16421.115962944295</v>
      </c>
      <c r="FJ53" s="840"/>
      <c r="FK53" s="938">
        <f t="shared" si="70"/>
        <v>-3443.10349810969</v>
      </c>
      <c r="FN53" s="957"/>
      <c r="FO53" s="957"/>
      <c r="FP53" s="957"/>
      <c r="FU53" s="957"/>
      <c r="FV53" s="957"/>
    </row>
    <row r="54" spans="1:178" s="717" customFormat="1" ht="14.5" hidden="1" x14ac:dyDescent="0.3">
      <c r="A54" s="822">
        <f t="shared" si="47"/>
        <v>43</v>
      </c>
      <c r="B54" s="813"/>
      <c r="C54" s="822" t="s">
        <v>376</v>
      </c>
      <c r="D54" s="813">
        <f t="shared" si="63"/>
        <v>17</v>
      </c>
      <c r="E54" s="822" t="s">
        <v>374</v>
      </c>
      <c r="F54" s="823" t="s">
        <v>516</v>
      </c>
      <c r="G54" s="823" t="s">
        <v>375</v>
      </c>
      <c r="H54" s="823">
        <v>13.5</v>
      </c>
      <c r="I54" s="824">
        <v>52000</v>
      </c>
      <c r="J54" s="825">
        <f t="shared" si="7"/>
        <v>702000</v>
      </c>
      <c r="K54" s="825">
        <v>40000</v>
      </c>
      <c r="L54" s="825">
        <v>50000</v>
      </c>
      <c r="M54" s="825"/>
      <c r="N54" s="825">
        <f t="shared" si="8"/>
        <v>792000</v>
      </c>
      <c r="O54" s="825">
        <f t="shared" si="9"/>
        <v>19800</v>
      </c>
      <c r="P54" s="825">
        <f t="shared" si="10"/>
        <v>811800</v>
      </c>
      <c r="Q54" s="1088">
        <f t="shared" si="11"/>
        <v>1.2500000000000001E-2</v>
      </c>
      <c r="R54" s="825">
        <f t="shared" si="12"/>
        <v>10147.5</v>
      </c>
      <c r="S54" s="1089" t="s">
        <v>450</v>
      </c>
      <c r="T54" s="1089">
        <f t="shared" si="13"/>
        <v>821947.5</v>
      </c>
      <c r="U54" s="1089"/>
      <c r="V54" s="1089">
        <f t="shared" si="14"/>
        <v>30823.03125</v>
      </c>
      <c r="W54" s="1089">
        <f t="shared" si="15"/>
        <v>852770.53125</v>
      </c>
      <c r="X54" s="1089"/>
      <c r="Y54" s="1089">
        <f t="shared" si="16"/>
        <v>852770.53125</v>
      </c>
      <c r="Z54" s="1089"/>
      <c r="AA54" s="1089">
        <f t="shared" si="17"/>
        <v>852770.53125</v>
      </c>
      <c r="AB54" s="1089"/>
      <c r="AC54" s="1089">
        <f t="shared" si="18"/>
        <v>852770.53125</v>
      </c>
      <c r="AD54" s="1089"/>
      <c r="AE54" s="1089">
        <f t="shared" si="19"/>
        <v>852770.53125</v>
      </c>
      <c r="AF54" s="1089"/>
      <c r="AG54" s="1089">
        <f t="shared" si="20"/>
        <v>852770.53125</v>
      </c>
      <c r="AH54" s="1089"/>
      <c r="AI54" s="1089">
        <f t="shared" si="21"/>
        <v>852770.53125</v>
      </c>
      <c r="AJ54" s="1089"/>
      <c r="AK54" s="1089">
        <f t="shared" si="22"/>
        <v>852770.53125</v>
      </c>
      <c r="AL54" s="1089"/>
      <c r="AM54" s="1089">
        <f t="shared" si="23"/>
        <v>852770.53125</v>
      </c>
      <c r="AN54" s="1089"/>
      <c r="AO54" s="1089">
        <f t="shared" si="24"/>
        <v>852770.53125</v>
      </c>
      <c r="AP54" s="1089"/>
      <c r="AQ54" s="1000">
        <f t="shared" si="25"/>
        <v>852770.53125</v>
      </c>
      <c r="AR54" s="1089"/>
      <c r="AS54" s="1000">
        <f t="shared" si="26"/>
        <v>852770.53125</v>
      </c>
      <c r="AT54" s="825">
        <f t="shared" si="27"/>
        <v>852770.53125</v>
      </c>
      <c r="AU54" s="825">
        <f t="shared" si="28"/>
        <v>102332.46375</v>
      </c>
      <c r="AV54" s="825">
        <f t="shared" si="29"/>
        <v>85277.053125000006</v>
      </c>
      <c r="AW54" s="825">
        <f t="shared" si="57"/>
        <v>1040380.048125</v>
      </c>
      <c r="AX54" s="826">
        <v>0.15</v>
      </c>
      <c r="AY54" s="825">
        <f t="shared" si="49"/>
        <v>156057.00721874999</v>
      </c>
      <c r="AZ54" s="825">
        <v>10000</v>
      </c>
      <c r="BA54" s="825">
        <f t="shared" si="50"/>
        <v>146057.00721874999</v>
      </c>
      <c r="BB54" s="825">
        <f t="shared" si="60"/>
        <v>18</v>
      </c>
      <c r="BC54" s="824">
        <f t="shared" si="51"/>
        <v>8114.2781788194443</v>
      </c>
      <c r="BD54" s="827">
        <f t="shared" si="31"/>
        <v>0.85</v>
      </c>
      <c r="BE54" s="825">
        <f t="shared" si="52"/>
        <v>884323.04090625001</v>
      </c>
      <c r="BF54" s="1090">
        <f t="shared" si="32"/>
        <v>7948.5454973272472</v>
      </c>
      <c r="BG54" s="1090">
        <f t="shared" si="33"/>
        <v>10267.740341761377</v>
      </c>
      <c r="BH54" s="1090">
        <f t="shared" si="34"/>
        <v>17510.656106790302</v>
      </c>
      <c r="BK54" s="818"/>
      <c r="BL54" s="907">
        <f t="shared" si="64"/>
        <v>45839</v>
      </c>
      <c r="BM54" s="908">
        <f t="shared" si="35"/>
        <v>21</v>
      </c>
      <c r="BN54" s="909"/>
      <c r="BO54" s="907">
        <f t="shared" si="36"/>
        <v>45904</v>
      </c>
      <c r="BP54" s="914">
        <f t="shared" si="61"/>
        <v>23</v>
      </c>
      <c r="BQ54" s="818"/>
      <c r="BR54" s="818"/>
      <c r="BS54" s="818"/>
      <c r="BT54" s="818"/>
      <c r="BU54" s="818"/>
      <c r="BV54" s="818"/>
      <c r="BW54" s="818"/>
      <c r="BX54" s="818"/>
      <c r="BY54" s="818"/>
      <c r="BZ54" s="818"/>
      <c r="CA54" s="968" t="s">
        <v>262</v>
      </c>
      <c r="CB54" s="812" t="s">
        <v>262</v>
      </c>
      <c r="CC54" s="832" t="b">
        <f t="shared" si="38"/>
        <v>1</v>
      </c>
      <c r="CD54" s="717" t="s">
        <v>262</v>
      </c>
      <c r="CE54" s="949" t="b">
        <f t="shared" si="39"/>
        <v>1</v>
      </c>
      <c r="CG54" s="842"/>
      <c r="CH54" s="878"/>
      <c r="ED54" s="947"/>
      <c r="EF54" s="947"/>
      <c r="EG54" s="947"/>
      <c r="EH54" s="947"/>
      <c r="EI54" s="947"/>
      <c r="EJ54" s="947"/>
      <c r="EK54" s="947"/>
      <c r="EL54" s="947"/>
      <c r="EW54" s="840"/>
      <c r="EX54" s="938">
        <f t="shared" si="65"/>
        <v>1040380.048125</v>
      </c>
      <c r="EY54" s="942">
        <f t="shared" si="66"/>
        <v>0.15</v>
      </c>
      <c r="EZ54" s="938">
        <f t="shared" si="67"/>
        <v>156057.00721874999</v>
      </c>
      <c r="FA54" s="938">
        <f t="shared" si="68"/>
        <v>10000</v>
      </c>
      <c r="FB54" s="938">
        <f t="shared" si="69"/>
        <v>146057.00721874999</v>
      </c>
      <c r="FC54" s="813">
        <f t="shared" si="62"/>
        <v>33</v>
      </c>
      <c r="FD54" s="814">
        <f t="shared" si="41"/>
        <v>4425.9699157196965</v>
      </c>
      <c r="FE54" s="942">
        <f t="shared" si="42"/>
        <v>0.85</v>
      </c>
      <c r="FF54" s="938">
        <f t="shared" si="43"/>
        <v>884323.04090625001</v>
      </c>
      <c r="FG54" s="940">
        <f t="shared" si="44"/>
        <v>7948.5454973272472</v>
      </c>
      <c r="FH54" s="940">
        <f t="shared" si="45"/>
        <v>10267.740341761377</v>
      </c>
      <c r="FI54" s="940">
        <f t="shared" si="46"/>
        <v>17510.656106790302</v>
      </c>
      <c r="FJ54" s="840"/>
      <c r="FK54" s="938">
        <f t="shared" si="70"/>
        <v>-3688.3082630997478</v>
      </c>
      <c r="FN54" s="957"/>
      <c r="FO54" s="957"/>
      <c r="FP54" s="957"/>
      <c r="FU54" s="957"/>
      <c r="FV54" s="957"/>
    </row>
    <row r="55" spans="1:178" s="717" customFormat="1" ht="14.5" hidden="1" x14ac:dyDescent="0.3">
      <c r="A55" s="813">
        <f t="shared" si="47"/>
        <v>44</v>
      </c>
      <c r="B55" s="813"/>
      <c r="C55" s="813" t="s">
        <v>376</v>
      </c>
      <c r="D55" s="813">
        <f t="shared" si="63"/>
        <v>18</v>
      </c>
      <c r="E55" s="813" t="s">
        <v>374</v>
      </c>
      <c r="F55" s="575" t="s">
        <v>517</v>
      </c>
      <c r="G55" s="575" t="s">
        <v>375</v>
      </c>
      <c r="H55" s="575">
        <v>13.5</v>
      </c>
      <c r="I55" s="814">
        <v>52000</v>
      </c>
      <c r="J55" s="815">
        <f t="shared" si="7"/>
        <v>702000</v>
      </c>
      <c r="K55" s="815">
        <v>40000</v>
      </c>
      <c r="L55" s="815">
        <v>50000</v>
      </c>
      <c r="M55" s="815"/>
      <c r="N55" s="815">
        <f t="shared" si="8"/>
        <v>792000</v>
      </c>
      <c r="O55" s="815">
        <f t="shared" si="9"/>
        <v>19800</v>
      </c>
      <c r="P55" s="815">
        <f t="shared" si="10"/>
        <v>811800</v>
      </c>
      <c r="Q55" s="948">
        <f t="shared" si="11"/>
        <v>1.2500000000000001E-2</v>
      </c>
      <c r="R55" s="815">
        <f t="shared" si="12"/>
        <v>10147.5</v>
      </c>
      <c r="S55" s="955" t="s">
        <v>450</v>
      </c>
      <c r="T55" s="955">
        <f t="shared" si="13"/>
        <v>821947.5</v>
      </c>
      <c r="U55" s="955"/>
      <c r="V55" s="955">
        <f t="shared" si="14"/>
        <v>30823.03125</v>
      </c>
      <c r="W55" s="955">
        <f t="shared" si="15"/>
        <v>852770.53125</v>
      </c>
      <c r="X55" s="955"/>
      <c r="Y55" s="955">
        <f t="shared" si="16"/>
        <v>852770.53125</v>
      </c>
      <c r="Z55" s="955"/>
      <c r="AA55" s="955">
        <f t="shared" si="17"/>
        <v>852770.53125</v>
      </c>
      <c r="AB55" s="955"/>
      <c r="AC55" s="955">
        <f t="shared" si="18"/>
        <v>852770.53125</v>
      </c>
      <c r="AD55" s="955"/>
      <c r="AE55" s="955">
        <f t="shared" si="19"/>
        <v>852770.53125</v>
      </c>
      <c r="AF55" s="955"/>
      <c r="AG55" s="955">
        <f t="shared" si="20"/>
        <v>852770.53125</v>
      </c>
      <c r="AH55" s="955"/>
      <c r="AI55" s="955">
        <f t="shared" si="21"/>
        <v>852770.53125</v>
      </c>
      <c r="AJ55" s="955"/>
      <c r="AK55" s="955">
        <f t="shared" si="22"/>
        <v>852770.53125</v>
      </c>
      <c r="AL55" s="955"/>
      <c r="AM55" s="955">
        <f t="shared" si="23"/>
        <v>852770.53125</v>
      </c>
      <c r="AN55" s="955"/>
      <c r="AO55" s="955">
        <f t="shared" si="24"/>
        <v>852770.53125</v>
      </c>
      <c r="AP55" s="955"/>
      <c r="AQ55" s="1000">
        <f t="shared" si="25"/>
        <v>852770.53125</v>
      </c>
      <c r="AR55" s="955"/>
      <c r="AS55" s="1000">
        <f t="shared" si="26"/>
        <v>852770.53125</v>
      </c>
      <c r="AT55" s="815">
        <f t="shared" si="27"/>
        <v>852770.53125</v>
      </c>
      <c r="AU55" s="815">
        <f t="shared" si="28"/>
        <v>102332.46375</v>
      </c>
      <c r="AV55" s="815">
        <f t="shared" si="29"/>
        <v>85277.053125000006</v>
      </c>
      <c r="AW55" s="815">
        <f t="shared" si="57"/>
        <v>1040380.048125</v>
      </c>
      <c r="AX55" s="816">
        <v>0.15</v>
      </c>
      <c r="AY55" s="815">
        <f t="shared" si="49"/>
        <v>156057.00721874999</v>
      </c>
      <c r="AZ55" s="815">
        <v>10000</v>
      </c>
      <c r="BA55" s="815">
        <f t="shared" si="50"/>
        <v>146057.00721874999</v>
      </c>
      <c r="BB55" s="825">
        <f t="shared" si="60"/>
        <v>18</v>
      </c>
      <c r="BC55" s="814">
        <f t="shared" si="51"/>
        <v>8114.2781788194443</v>
      </c>
      <c r="BD55" s="817">
        <f t="shared" si="31"/>
        <v>0.85</v>
      </c>
      <c r="BE55" s="815">
        <f t="shared" si="52"/>
        <v>884323.04090625001</v>
      </c>
      <c r="BF55" s="833">
        <f t="shared" si="32"/>
        <v>7948.5454973272472</v>
      </c>
      <c r="BG55" s="833">
        <f t="shared" si="33"/>
        <v>10267.740341761377</v>
      </c>
      <c r="BH55" s="833">
        <f t="shared" si="34"/>
        <v>17510.656106790302</v>
      </c>
      <c r="BK55" s="818"/>
      <c r="BL55" s="907">
        <f t="shared" si="64"/>
        <v>45839</v>
      </c>
      <c r="BM55" s="908">
        <f t="shared" si="35"/>
        <v>21</v>
      </c>
      <c r="BN55" s="909"/>
      <c r="BO55" s="907">
        <f t="shared" si="36"/>
        <v>45904</v>
      </c>
      <c r="BP55" s="914">
        <f t="shared" si="61"/>
        <v>23</v>
      </c>
      <c r="BQ55" s="818"/>
      <c r="BR55" s="818"/>
      <c r="BS55" s="818"/>
      <c r="BT55" s="818"/>
      <c r="BU55" s="818"/>
      <c r="BV55" s="818"/>
      <c r="BW55" s="818"/>
      <c r="BX55" s="818"/>
      <c r="BY55" s="818"/>
      <c r="BZ55" s="818"/>
      <c r="CA55" s="968" t="s">
        <v>262</v>
      </c>
      <c r="CB55" s="812" t="s">
        <v>262</v>
      </c>
      <c r="CC55" s="832" t="b">
        <f t="shared" si="38"/>
        <v>1</v>
      </c>
      <c r="CD55" s="717" t="s">
        <v>262</v>
      </c>
      <c r="CE55" s="949" t="b">
        <f t="shared" si="39"/>
        <v>1</v>
      </c>
      <c r="CG55" s="842"/>
      <c r="CH55" s="878"/>
      <c r="ED55" s="947"/>
      <c r="EF55" s="947"/>
      <c r="EG55" s="947"/>
      <c r="EH55" s="947"/>
      <c r="EI55" s="947"/>
      <c r="EJ55" s="947"/>
      <c r="EK55" s="947"/>
      <c r="EL55" s="947"/>
      <c r="EW55" s="840"/>
      <c r="EX55" s="938">
        <f t="shared" si="65"/>
        <v>1040380.048125</v>
      </c>
      <c r="EY55" s="942">
        <f t="shared" si="66"/>
        <v>0.15</v>
      </c>
      <c r="EZ55" s="938">
        <f t="shared" si="67"/>
        <v>156057.00721874999</v>
      </c>
      <c r="FA55" s="938">
        <f t="shared" si="68"/>
        <v>10000</v>
      </c>
      <c r="FB55" s="938">
        <f t="shared" si="69"/>
        <v>146057.00721874999</v>
      </c>
      <c r="FC55" s="813">
        <f t="shared" si="62"/>
        <v>33</v>
      </c>
      <c r="FD55" s="814">
        <f t="shared" si="41"/>
        <v>4425.9699157196965</v>
      </c>
      <c r="FE55" s="942">
        <f t="shared" si="42"/>
        <v>0.85</v>
      </c>
      <c r="FF55" s="938">
        <f t="shared" si="43"/>
        <v>884323.04090625001</v>
      </c>
      <c r="FG55" s="940">
        <f t="shared" si="44"/>
        <v>7948.5454973272472</v>
      </c>
      <c r="FH55" s="940">
        <f t="shared" si="45"/>
        <v>10267.740341761377</v>
      </c>
      <c r="FI55" s="940">
        <f t="shared" si="46"/>
        <v>17510.656106790302</v>
      </c>
      <c r="FJ55" s="840"/>
      <c r="FK55" s="938">
        <f t="shared" si="70"/>
        <v>-3688.3082630997478</v>
      </c>
      <c r="FN55" s="957"/>
      <c r="FO55" s="957"/>
      <c r="FP55" s="957"/>
      <c r="FU55" s="957"/>
      <c r="FV55" s="957"/>
    </row>
    <row r="56" spans="1:178" s="717" customFormat="1" ht="14.5" hidden="1" x14ac:dyDescent="0.3">
      <c r="A56" s="813">
        <f t="shared" si="47"/>
        <v>45</v>
      </c>
      <c r="B56" s="813"/>
      <c r="C56" s="813" t="s">
        <v>376</v>
      </c>
      <c r="D56" s="813">
        <f t="shared" si="63"/>
        <v>19</v>
      </c>
      <c r="E56" s="813" t="s">
        <v>374</v>
      </c>
      <c r="F56" s="575" t="s">
        <v>518</v>
      </c>
      <c r="G56" s="575" t="s">
        <v>375</v>
      </c>
      <c r="H56" s="575">
        <v>13.5</v>
      </c>
      <c r="I56" s="814">
        <v>52000</v>
      </c>
      <c r="J56" s="815">
        <f t="shared" si="7"/>
        <v>702000</v>
      </c>
      <c r="K56" s="815">
        <v>40000</v>
      </c>
      <c r="L56" s="815">
        <v>50000</v>
      </c>
      <c r="M56" s="815"/>
      <c r="N56" s="815">
        <f t="shared" si="8"/>
        <v>792000</v>
      </c>
      <c r="O56" s="815">
        <f t="shared" si="9"/>
        <v>19800</v>
      </c>
      <c r="P56" s="815">
        <f t="shared" si="10"/>
        <v>811800</v>
      </c>
      <c r="Q56" s="948">
        <f t="shared" si="11"/>
        <v>1.2500000000000001E-2</v>
      </c>
      <c r="R56" s="815">
        <f t="shared" si="12"/>
        <v>10147.5</v>
      </c>
      <c r="S56" s="955" t="s">
        <v>450</v>
      </c>
      <c r="T56" s="955">
        <f t="shared" si="13"/>
        <v>821947.5</v>
      </c>
      <c r="U56" s="955"/>
      <c r="V56" s="955">
        <f t="shared" si="14"/>
        <v>30823.03125</v>
      </c>
      <c r="W56" s="955">
        <f t="shared" si="15"/>
        <v>852770.53125</v>
      </c>
      <c r="X56" s="955"/>
      <c r="Y56" s="955">
        <f t="shared" si="16"/>
        <v>852770.53125</v>
      </c>
      <c r="Z56" s="955"/>
      <c r="AA56" s="955">
        <f t="shared" si="17"/>
        <v>852770.53125</v>
      </c>
      <c r="AB56" s="955"/>
      <c r="AC56" s="955">
        <f t="shared" si="18"/>
        <v>852770.53125</v>
      </c>
      <c r="AD56" s="955"/>
      <c r="AE56" s="955">
        <f t="shared" si="19"/>
        <v>852770.53125</v>
      </c>
      <c r="AF56" s="955"/>
      <c r="AG56" s="955">
        <f t="shared" si="20"/>
        <v>852770.53125</v>
      </c>
      <c r="AH56" s="955"/>
      <c r="AI56" s="955">
        <f t="shared" si="21"/>
        <v>852770.53125</v>
      </c>
      <c r="AJ56" s="955"/>
      <c r="AK56" s="955">
        <f t="shared" si="22"/>
        <v>852770.53125</v>
      </c>
      <c r="AL56" s="955"/>
      <c r="AM56" s="955">
        <f t="shared" si="23"/>
        <v>852770.53125</v>
      </c>
      <c r="AN56" s="955"/>
      <c r="AO56" s="955">
        <f t="shared" si="24"/>
        <v>852770.53125</v>
      </c>
      <c r="AP56" s="955"/>
      <c r="AQ56" s="1000">
        <f t="shared" si="25"/>
        <v>852770.53125</v>
      </c>
      <c r="AR56" s="955"/>
      <c r="AS56" s="1000">
        <f t="shared" si="26"/>
        <v>852770.53125</v>
      </c>
      <c r="AT56" s="815">
        <f t="shared" si="27"/>
        <v>852770.53125</v>
      </c>
      <c r="AU56" s="815">
        <f t="shared" si="28"/>
        <v>102332.46375</v>
      </c>
      <c r="AV56" s="815">
        <f t="shared" si="29"/>
        <v>85277.053125000006</v>
      </c>
      <c r="AW56" s="815">
        <f t="shared" si="57"/>
        <v>1040380.048125</v>
      </c>
      <c r="AX56" s="816">
        <v>0.15</v>
      </c>
      <c r="AY56" s="815">
        <f t="shared" si="49"/>
        <v>156057.00721874999</v>
      </c>
      <c r="AZ56" s="815">
        <v>10000</v>
      </c>
      <c r="BA56" s="815">
        <f t="shared" si="50"/>
        <v>146057.00721874999</v>
      </c>
      <c r="BB56" s="825">
        <f t="shared" si="60"/>
        <v>18</v>
      </c>
      <c r="BC56" s="814">
        <f t="shared" si="51"/>
        <v>8114.2781788194443</v>
      </c>
      <c r="BD56" s="817">
        <f t="shared" si="31"/>
        <v>0.85</v>
      </c>
      <c r="BE56" s="815">
        <f t="shared" si="52"/>
        <v>884323.04090625001</v>
      </c>
      <c r="BF56" s="833">
        <f t="shared" si="32"/>
        <v>7948.5454973272472</v>
      </c>
      <c r="BG56" s="833">
        <f t="shared" si="33"/>
        <v>10267.740341761377</v>
      </c>
      <c r="BH56" s="833">
        <f t="shared" si="34"/>
        <v>17510.656106790302</v>
      </c>
      <c r="BK56" s="818"/>
      <c r="BL56" s="907">
        <f t="shared" si="64"/>
        <v>45839</v>
      </c>
      <c r="BM56" s="908">
        <f t="shared" si="35"/>
        <v>21</v>
      </c>
      <c r="BN56" s="909"/>
      <c r="BO56" s="907">
        <f t="shared" si="36"/>
        <v>45904</v>
      </c>
      <c r="BP56" s="914">
        <f t="shared" si="61"/>
        <v>23</v>
      </c>
      <c r="BQ56" s="818"/>
      <c r="BR56" s="818"/>
      <c r="BS56" s="818"/>
      <c r="BT56" s="818"/>
      <c r="BU56" s="818"/>
      <c r="BV56" s="818"/>
      <c r="BW56" s="818"/>
      <c r="BX56" s="818"/>
      <c r="BY56" s="818"/>
      <c r="BZ56" s="818"/>
      <c r="CA56" s="968" t="s">
        <v>262</v>
      </c>
      <c r="CB56" s="812" t="s">
        <v>262</v>
      </c>
      <c r="CC56" s="832" t="b">
        <f t="shared" si="38"/>
        <v>1</v>
      </c>
      <c r="CD56" s="717" t="s">
        <v>262</v>
      </c>
      <c r="CE56" s="949" t="b">
        <f t="shared" si="39"/>
        <v>1</v>
      </c>
      <c r="CG56" s="842"/>
      <c r="CH56" s="878"/>
      <c r="ED56" s="947"/>
      <c r="EF56" s="947"/>
      <c r="EG56" s="947"/>
      <c r="EH56" s="947"/>
      <c r="EI56" s="947"/>
      <c r="EJ56" s="947"/>
      <c r="EK56" s="947"/>
      <c r="EL56" s="947"/>
      <c r="EW56" s="840"/>
      <c r="EX56" s="938">
        <f t="shared" si="65"/>
        <v>1040380.048125</v>
      </c>
      <c r="EY56" s="942">
        <f t="shared" si="66"/>
        <v>0.15</v>
      </c>
      <c r="EZ56" s="938">
        <f t="shared" si="67"/>
        <v>156057.00721874999</v>
      </c>
      <c r="FA56" s="938">
        <f t="shared" si="68"/>
        <v>10000</v>
      </c>
      <c r="FB56" s="938">
        <f t="shared" si="69"/>
        <v>146057.00721874999</v>
      </c>
      <c r="FC56" s="813">
        <f t="shared" si="62"/>
        <v>33</v>
      </c>
      <c r="FD56" s="814">
        <f t="shared" si="41"/>
        <v>4425.9699157196965</v>
      </c>
      <c r="FE56" s="942">
        <f t="shared" si="42"/>
        <v>0.85</v>
      </c>
      <c r="FF56" s="938">
        <f t="shared" si="43"/>
        <v>884323.04090625001</v>
      </c>
      <c r="FG56" s="940">
        <f t="shared" si="44"/>
        <v>7948.5454973272472</v>
      </c>
      <c r="FH56" s="940">
        <f t="shared" si="45"/>
        <v>10267.740341761377</v>
      </c>
      <c r="FI56" s="940">
        <f t="shared" si="46"/>
        <v>17510.656106790302</v>
      </c>
      <c r="FJ56" s="840"/>
      <c r="FK56" s="938">
        <f t="shared" si="70"/>
        <v>-3688.3082630997478</v>
      </c>
      <c r="FN56" s="957"/>
      <c r="FO56" s="957"/>
      <c r="FP56" s="957"/>
      <c r="FU56" s="957"/>
      <c r="FV56" s="957"/>
    </row>
    <row r="57" spans="1:178" s="717" customFormat="1" ht="14.5" hidden="1" x14ac:dyDescent="0.3">
      <c r="A57" s="813">
        <f t="shared" si="47"/>
        <v>46</v>
      </c>
      <c r="B57" s="813"/>
      <c r="C57" s="813" t="s">
        <v>376</v>
      </c>
      <c r="D57" s="813">
        <f t="shared" si="63"/>
        <v>20</v>
      </c>
      <c r="E57" s="813" t="s">
        <v>374</v>
      </c>
      <c r="F57" s="575" t="s">
        <v>519</v>
      </c>
      <c r="G57" s="575" t="s">
        <v>375</v>
      </c>
      <c r="H57" s="575">
        <v>13.5</v>
      </c>
      <c r="I57" s="814">
        <v>52000</v>
      </c>
      <c r="J57" s="815">
        <f t="shared" si="7"/>
        <v>702000</v>
      </c>
      <c r="K57" s="815">
        <v>40000</v>
      </c>
      <c r="L57" s="815">
        <v>50000</v>
      </c>
      <c r="M57" s="815"/>
      <c r="N57" s="815">
        <f t="shared" si="8"/>
        <v>792000</v>
      </c>
      <c r="O57" s="815">
        <f t="shared" si="9"/>
        <v>19800</v>
      </c>
      <c r="P57" s="815">
        <f t="shared" si="10"/>
        <v>811800</v>
      </c>
      <c r="Q57" s="948">
        <f t="shared" si="11"/>
        <v>1.2500000000000001E-2</v>
      </c>
      <c r="R57" s="815">
        <f t="shared" si="12"/>
        <v>10147.5</v>
      </c>
      <c r="S57" s="955" t="s">
        <v>450</v>
      </c>
      <c r="T57" s="955">
        <f t="shared" si="13"/>
        <v>821947.5</v>
      </c>
      <c r="U57" s="955"/>
      <c r="V57" s="955">
        <f t="shared" si="14"/>
        <v>30823.03125</v>
      </c>
      <c r="W57" s="955">
        <f t="shared" si="15"/>
        <v>852770.53125</v>
      </c>
      <c r="X57" s="955"/>
      <c r="Y57" s="955">
        <f t="shared" si="16"/>
        <v>852770.53125</v>
      </c>
      <c r="Z57" s="955"/>
      <c r="AA57" s="955">
        <f t="shared" si="17"/>
        <v>852770.53125</v>
      </c>
      <c r="AB57" s="955"/>
      <c r="AC57" s="955">
        <f t="shared" si="18"/>
        <v>852770.53125</v>
      </c>
      <c r="AD57" s="955"/>
      <c r="AE57" s="955">
        <f t="shared" si="19"/>
        <v>852770.53125</v>
      </c>
      <c r="AF57" s="955"/>
      <c r="AG57" s="955">
        <f t="shared" si="20"/>
        <v>852770.53125</v>
      </c>
      <c r="AH57" s="955"/>
      <c r="AI57" s="955">
        <f t="shared" si="21"/>
        <v>852770.53125</v>
      </c>
      <c r="AJ57" s="955"/>
      <c r="AK57" s="955">
        <f t="shared" si="22"/>
        <v>852770.53125</v>
      </c>
      <c r="AL57" s="955"/>
      <c r="AM57" s="955">
        <f t="shared" si="23"/>
        <v>852770.53125</v>
      </c>
      <c r="AN57" s="955"/>
      <c r="AO57" s="955">
        <f t="shared" si="24"/>
        <v>852770.53125</v>
      </c>
      <c r="AP57" s="955"/>
      <c r="AQ57" s="1000">
        <f t="shared" si="25"/>
        <v>852770.53125</v>
      </c>
      <c r="AR57" s="955"/>
      <c r="AS57" s="1000">
        <f t="shared" si="26"/>
        <v>852770.53125</v>
      </c>
      <c r="AT57" s="815">
        <f t="shared" si="27"/>
        <v>852770.53125</v>
      </c>
      <c r="AU57" s="815">
        <f t="shared" si="28"/>
        <v>102332.46375</v>
      </c>
      <c r="AV57" s="815">
        <f t="shared" si="29"/>
        <v>85277.053125000006</v>
      </c>
      <c r="AW57" s="815">
        <f t="shared" si="57"/>
        <v>1040380.048125</v>
      </c>
      <c r="AX57" s="816">
        <v>0.15</v>
      </c>
      <c r="AY57" s="815">
        <f t="shared" si="49"/>
        <v>156057.00721874999</v>
      </c>
      <c r="AZ57" s="815">
        <v>10000</v>
      </c>
      <c r="BA57" s="815">
        <f t="shared" si="50"/>
        <v>146057.00721874999</v>
      </c>
      <c r="BB57" s="825">
        <f t="shared" si="60"/>
        <v>18</v>
      </c>
      <c r="BC57" s="814">
        <f t="shared" si="51"/>
        <v>8114.2781788194443</v>
      </c>
      <c r="BD57" s="817">
        <f t="shared" si="31"/>
        <v>0.85</v>
      </c>
      <c r="BE57" s="815">
        <f t="shared" si="52"/>
        <v>884323.04090625001</v>
      </c>
      <c r="BF57" s="833">
        <f t="shared" si="32"/>
        <v>7948.5454973272472</v>
      </c>
      <c r="BG57" s="833">
        <f t="shared" si="33"/>
        <v>10267.740341761377</v>
      </c>
      <c r="BH57" s="833">
        <f t="shared" si="34"/>
        <v>17510.656106790302</v>
      </c>
      <c r="BK57" s="818"/>
      <c r="BL57" s="907">
        <f t="shared" si="64"/>
        <v>45839</v>
      </c>
      <c r="BM57" s="908">
        <f t="shared" si="35"/>
        <v>21</v>
      </c>
      <c r="BN57" s="909"/>
      <c r="BO57" s="907">
        <f t="shared" si="36"/>
        <v>45904</v>
      </c>
      <c r="BP57" s="914">
        <f t="shared" si="61"/>
        <v>23</v>
      </c>
      <c r="BQ57" s="818"/>
      <c r="BR57" s="818"/>
      <c r="BS57" s="818"/>
      <c r="BT57" s="818"/>
      <c r="BU57" s="818"/>
      <c r="BV57" s="818"/>
      <c r="BW57" s="818"/>
      <c r="BX57" s="818"/>
      <c r="BY57" s="818"/>
      <c r="BZ57" s="818"/>
      <c r="CA57" s="968" t="s">
        <v>262</v>
      </c>
      <c r="CB57" s="812" t="s">
        <v>262</v>
      </c>
      <c r="CC57" s="832" t="b">
        <f t="shared" si="38"/>
        <v>1</v>
      </c>
      <c r="CD57" s="717" t="s">
        <v>262</v>
      </c>
      <c r="CE57" s="949" t="b">
        <f t="shared" si="39"/>
        <v>1</v>
      </c>
      <c r="CG57" s="842"/>
      <c r="CH57" s="878"/>
      <c r="ED57" s="947"/>
      <c r="EF57" s="947"/>
      <c r="EG57" s="947"/>
      <c r="EH57" s="947"/>
      <c r="EI57" s="947"/>
      <c r="EJ57" s="947"/>
      <c r="EK57" s="947"/>
      <c r="EL57" s="947"/>
      <c r="EW57" s="840"/>
      <c r="EX57" s="938">
        <f t="shared" si="65"/>
        <v>1040380.048125</v>
      </c>
      <c r="EY57" s="942">
        <f t="shared" si="66"/>
        <v>0.15</v>
      </c>
      <c r="EZ57" s="938">
        <f t="shared" si="67"/>
        <v>156057.00721874999</v>
      </c>
      <c r="FA57" s="938">
        <f t="shared" si="68"/>
        <v>10000</v>
      </c>
      <c r="FB57" s="938">
        <f t="shared" si="69"/>
        <v>146057.00721874999</v>
      </c>
      <c r="FC57" s="813">
        <f t="shared" si="62"/>
        <v>33</v>
      </c>
      <c r="FD57" s="814">
        <f t="shared" si="41"/>
        <v>4425.9699157196965</v>
      </c>
      <c r="FE57" s="942">
        <f t="shared" si="42"/>
        <v>0.85</v>
      </c>
      <c r="FF57" s="938">
        <f t="shared" si="43"/>
        <v>884323.04090625001</v>
      </c>
      <c r="FG57" s="940">
        <f t="shared" si="44"/>
        <v>7948.5454973272472</v>
      </c>
      <c r="FH57" s="940">
        <f t="shared" si="45"/>
        <v>10267.740341761377</v>
      </c>
      <c r="FI57" s="940">
        <f t="shared" si="46"/>
        <v>17510.656106790302</v>
      </c>
      <c r="FJ57" s="840"/>
      <c r="FK57" s="938">
        <f t="shared" si="70"/>
        <v>-3688.3082630997478</v>
      </c>
      <c r="FN57" s="957"/>
      <c r="FO57" s="957"/>
      <c r="FP57" s="957"/>
      <c r="FU57" s="957"/>
      <c r="FV57" s="957"/>
    </row>
    <row r="58" spans="1:178" s="717" customFormat="1" ht="14.5" hidden="1" x14ac:dyDescent="0.3">
      <c r="A58" s="813">
        <f t="shared" si="47"/>
        <v>47</v>
      </c>
      <c r="B58" s="813"/>
      <c r="C58" s="813" t="s">
        <v>376</v>
      </c>
      <c r="D58" s="813">
        <f t="shared" si="63"/>
        <v>21</v>
      </c>
      <c r="E58" s="813" t="s">
        <v>374</v>
      </c>
      <c r="F58" s="575" t="s">
        <v>520</v>
      </c>
      <c r="G58" s="575" t="s">
        <v>375</v>
      </c>
      <c r="H58" s="575">
        <v>13.5</v>
      </c>
      <c r="I58" s="814">
        <v>52000</v>
      </c>
      <c r="J58" s="815">
        <f t="shared" si="7"/>
        <v>702000</v>
      </c>
      <c r="K58" s="815">
        <v>40000</v>
      </c>
      <c r="L58" s="815">
        <v>65000</v>
      </c>
      <c r="M58" s="815"/>
      <c r="N58" s="815">
        <f t="shared" si="8"/>
        <v>807000</v>
      </c>
      <c r="O58" s="815">
        <f t="shared" si="9"/>
        <v>20175</v>
      </c>
      <c r="P58" s="815">
        <f t="shared" si="10"/>
        <v>827175</v>
      </c>
      <c r="Q58" s="948">
        <f t="shared" si="11"/>
        <v>1.2500000000000001E-2</v>
      </c>
      <c r="R58" s="815">
        <f t="shared" si="12"/>
        <v>10339.6875</v>
      </c>
      <c r="S58" s="955" t="s">
        <v>450</v>
      </c>
      <c r="T58" s="955">
        <f t="shared" si="13"/>
        <v>837514.6875</v>
      </c>
      <c r="U58" s="955"/>
      <c r="V58" s="955">
        <f t="shared" si="14"/>
        <v>31406.80078125</v>
      </c>
      <c r="W58" s="955">
        <f t="shared" si="15"/>
        <v>868921.48828125</v>
      </c>
      <c r="X58" s="955"/>
      <c r="Y58" s="955">
        <f t="shared" si="16"/>
        <v>868921.48828125</v>
      </c>
      <c r="Z58" s="955"/>
      <c r="AA58" s="955">
        <f t="shared" si="17"/>
        <v>868921.48828125</v>
      </c>
      <c r="AB58" s="955"/>
      <c r="AC58" s="955">
        <f t="shared" si="18"/>
        <v>868921.48828125</v>
      </c>
      <c r="AD58" s="955"/>
      <c r="AE58" s="955">
        <f t="shared" si="19"/>
        <v>868921.48828125</v>
      </c>
      <c r="AF58" s="955"/>
      <c r="AG58" s="955">
        <f t="shared" si="20"/>
        <v>868921.48828125</v>
      </c>
      <c r="AH58" s="955"/>
      <c r="AI58" s="955">
        <f t="shared" si="21"/>
        <v>868921.48828125</v>
      </c>
      <c r="AJ58" s="955"/>
      <c r="AK58" s="955">
        <f t="shared" si="22"/>
        <v>868921.48828125</v>
      </c>
      <c r="AL58" s="955"/>
      <c r="AM58" s="955">
        <f t="shared" si="23"/>
        <v>868921.48828125</v>
      </c>
      <c r="AN58" s="955"/>
      <c r="AO58" s="955">
        <f t="shared" si="24"/>
        <v>868921.48828125</v>
      </c>
      <c r="AP58" s="955"/>
      <c r="AQ58" s="1000">
        <f t="shared" si="25"/>
        <v>868921.48828125</v>
      </c>
      <c r="AR58" s="955"/>
      <c r="AS58" s="1000">
        <f t="shared" si="26"/>
        <v>868921.48828125</v>
      </c>
      <c r="AT58" s="815">
        <f t="shared" si="27"/>
        <v>868921.48828125</v>
      </c>
      <c r="AU58" s="815">
        <f t="shared" si="28"/>
        <v>104270.57859374999</v>
      </c>
      <c r="AV58" s="815">
        <f t="shared" si="29"/>
        <v>86892.148828125006</v>
      </c>
      <c r="AW58" s="815">
        <f t="shared" si="57"/>
        <v>1060084.2157031251</v>
      </c>
      <c r="AX58" s="816">
        <v>0.15</v>
      </c>
      <c r="AY58" s="815">
        <f t="shared" si="49"/>
        <v>159012.63235546876</v>
      </c>
      <c r="AZ58" s="815">
        <v>10000</v>
      </c>
      <c r="BA58" s="815">
        <f t="shared" si="50"/>
        <v>149012.63235546876</v>
      </c>
      <c r="BB58" s="825">
        <f t="shared" si="60"/>
        <v>18</v>
      </c>
      <c r="BC58" s="814">
        <f t="shared" si="51"/>
        <v>8278.4795753038197</v>
      </c>
      <c r="BD58" s="817">
        <f t="shared" si="31"/>
        <v>0.85</v>
      </c>
      <c r="BE58" s="815">
        <f t="shared" si="52"/>
        <v>901071.5833476563</v>
      </c>
      <c r="BF58" s="833">
        <f t="shared" si="32"/>
        <v>8099.086131746325</v>
      </c>
      <c r="BG58" s="833">
        <f t="shared" si="33"/>
        <v>10462.205120961404</v>
      </c>
      <c r="BH58" s="833">
        <f t="shared" si="34"/>
        <v>17842.297320934056</v>
      </c>
      <c r="BK58" s="818"/>
      <c r="BL58" s="907">
        <f t="shared" si="64"/>
        <v>45839</v>
      </c>
      <c r="BM58" s="908">
        <f t="shared" si="35"/>
        <v>21</v>
      </c>
      <c r="BN58" s="909"/>
      <c r="BO58" s="907">
        <f t="shared" si="36"/>
        <v>45904</v>
      </c>
      <c r="BP58" s="914">
        <f t="shared" si="61"/>
        <v>23</v>
      </c>
      <c r="BQ58" s="818"/>
      <c r="BR58" s="818"/>
      <c r="BS58" s="818"/>
      <c r="BT58" s="818"/>
      <c r="BU58" s="818"/>
      <c r="BV58" s="818"/>
      <c r="BW58" s="818"/>
      <c r="BX58" s="818"/>
      <c r="BY58" s="818"/>
      <c r="BZ58" s="818"/>
      <c r="CA58" s="968" t="s">
        <v>262</v>
      </c>
      <c r="CB58" s="812" t="s">
        <v>262</v>
      </c>
      <c r="CC58" s="832" t="b">
        <f t="shared" si="38"/>
        <v>1</v>
      </c>
      <c r="CD58" s="717" t="s">
        <v>262</v>
      </c>
      <c r="CE58" s="949" t="b">
        <f t="shared" si="39"/>
        <v>1</v>
      </c>
      <c r="CG58" s="842"/>
      <c r="CH58" s="878"/>
      <c r="ED58" s="947"/>
      <c r="EF58" s="947"/>
      <c r="EG58" s="947"/>
      <c r="EH58" s="947"/>
      <c r="EI58" s="947"/>
      <c r="EJ58" s="947"/>
      <c r="EK58" s="947"/>
      <c r="EL58" s="947"/>
      <c r="EW58" s="840"/>
      <c r="EX58" s="938">
        <f t="shared" si="65"/>
        <v>1060084.2157031251</v>
      </c>
      <c r="EY58" s="942">
        <f t="shared" si="66"/>
        <v>0.15</v>
      </c>
      <c r="EZ58" s="938">
        <f t="shared" si="67"/>
        <v>159012.63235546876</v>
      </c>
      <c r="FA58" s="938">
        <f t="shared" si="68"/>
        <v>10000</v>
      </c>
      <c r="FB58" s="938">
        <f t="shared" si="69"/>
        <v>149012.63235546876</v>
      </c>
      <c r="FC58" s="813">
        <f t="shared" si="62"/>
        <v>33</v>
      </c>
      <c r="FD58" s="814">
        <f t="shared" si="41"/>
        <v>4515.5343138020835</v>
      </c>
      <c r="FE58" s="942">
        <f t="shared" si="42"/>
        <v>0.85</v>
      </c>
      <c r="FF58" s="938">
        <f t="shared" si="43"/>
        <v>901071.5833476563</v>
      </c>
      <c r="FG58" s="940">
        <f t="shared" si="44"/>
        <v>8099.086131746325</v>
      </c>
      <c r="FH58" s="940">
        <f t="shared" si="45"/>
        <v>10462.205120961404</v>
      </c>
      <c r="FI58" s="940">
        <f t="shared" si="46"/>
        <v>17842.297320934056</v>
      </c>
      <c r="FJ58" s="840"/>
      <c r="FK58" s="938">
        <f t="shared" si="70"/>
        <v>-3762.9452615017362</v>
      </c>
      <c r="FN58" s="957"/>
      <c r="FO58" s="957"/>
      <c r="FP58" s="957"/>
      <c r="FU58" s="957"/>
      <c r="FV58" s="957"/>
    </row>
    <row r="59" spans="1:178" s="717" customFormat="1" ht="14.5" hidden="1" x14ac:dyDescent="0.3">
      <c r="A59" s="813">
        <f t="shared" si="47"/>
        <v>48</v>
      </c>
      <c r="B59" s="813"/>
      <c r="C59" s="813" t="s">
        <v>376</v>
      </c>
      <c r="D59" s="813">
        <f t="shared" si="63"/>
        <v>22</v>
      </c>
      <c r="E59" s="813" t="s">
        <v>374</v>
      </c>
      <c r="F59" s="575" t="s">
        <v>521</v>
      </c>
      <c r="G59" s="575" t="s">
        <v>375</v>
      </c>
      <c r="H59" s="575">
        <v>13.5</v>
      </c>
      <c r="I59" s="814">
        <v>52000</v>
      </c>
      <c r="J59" s="815">
        <f t="shared" si="7"/>
        <v>702000</v>
      </c>
      <c r="K59" s="815">
        <v>40000</v>
      </c>
      <c r="L59" s="815">
        <v>65000</v>
      </c>
      <c r="M59" s="815"/>
      <c r="N59" s="815">
        <f t="shared" si="8"/>
        <v>807000</v>
      </c>
      <c r="O59" s="815">
        <f t="shared" si="9"/>
        <v>20175</v>
      </c>
      <c r="P59" s="815">
        <f t="shared" si="10"/>
        <v>827175</v>
      </c>
      <c r="Q59" s="948">
        <f t="shared" si="11"/>
        <v>1.2500000000000001E-2</v>
      </c>
      <c r="R59" s="815">
        <f t="shared" si="12"/>
        <v>10339.6875</v>
      </c>
      <c r="S59" s="955">
        <v>747.77850000000001</v>
      </c>
      <c r="T59" s="955">
        <f t="shared" si="13"/>
        <v>838262.46600000001</v>
      </c>
      <c r="U59" s="955"/>
      <c r="V59" s="955">
        <f t="shared" si="14"/>
        <v>31434.842474999998</v>
      </c>
      <c r="W59" s="955">
        <f t="shared" si="15"/>
        <v>869697.30847499997</v>
      </c>
      <c r="X59" s="955"/>
      <c r="Y59" s="955">
        <f t="shared" si="16"/>
        <v>869697.30847499997</v>
      </c>
      <c r="Z59" s="955"/>
      <c r="AA59" s="955">
        <f t="shared" si="17"/>
        <v>869697.30847499997</v>
      </c>
      <c r="AB59" s="955"/>
      <c r="AC59" s="955">
        <f t="shared" si="18"/>
        <v>869697.30847499997</v>
      </c>
      <c r="AD59" s="955"/>
      <c r="AE59" s="955">
        <f t="shared" si="19"/>
        <v>869697.30847499997</v>
      </c>
      <c r="AF59" s="955"/>
      <c r="AG59" s="955">
        <f t="shared" si="20"/>
        <v>869697.30847499997</v>
      </c>
      <c r="AH59" s="955"/>
      <c r="AI59" s="955">
        <f t="shared" si="21"/>
        <v>869697.30847499997</v>
      </c>
      <c r="AJ59" s="955"/>
      <c r="AK59" s="955">
        <f t="shared" si="22"/>
        <v>869697.30847499997</v>
      </c>
      <c r="AL59" s="955"/>
      <c r="AM59" s="955">
        <f t="shared" si="23"/>
        <v>869697.30847499997</v>
      </c>
      <c r="AN59" s="955"/>
      <c r="AO59" s="955">
        <f t="shared" si="24"/>
        <v>869697.30847499997</v>
      </c>
      <c r="AP59" s="955"/>
      <c r="AQ59" s="1000">
        <f t="shared" si="25"/>
        <v>869697.30847499997</v>
      </c>
      <c r="AR59" s="955"/>
      <c r="AS59" s="1000">
        <f t="shared" si="26"/>
        <v>869697.30847499997</v>
      </c>
      <c r="AT59" s="815">
        <f t="shared" si="27"/>
        <v>869697.30847499997</v>
      </c>
      <c r="AU59" s="815">
        <f t="shared" si="28"/>
        <v>104363.67701699999</v>
      </c>
      <c r="AV59" s="815">
        <f t="shared" si="29"/>
        <v>86969.730847500003</v>
      </c>
      <c r="AW59" s="815">
        <f t="shared" si="57"/>
        <v>1061030.7163394999</v>
      </c>
      <c r="AX59" s="816">
        <v>0.15</v>
      </c>
      <c r="AY59" s="815">
        <f t="shared" si="49"/>
        <v>159154.60745092499</v>
      </c>
      <c r="AZ59" s="815">
        <v>10000</v>
      </c>
      <c r="BA59" s="815">
        <f t="shared" si="50"/>
        <v>149154.60745092499</v>
      </c>
      <c r="BB59" s="825">
        <f t="shared" si="60"/>
        <v>18</v>
      </c>
      <c r="BC59" s="814">
        <f t="shared" si="51"/>
        <v>8286.367080606944</v>
      </c>
      <c r="BD59" s="817">
        <f t="shared" si="31"/>
        <v>0.85</v>
      </c>
      <c r="BE59" s="815">
        <f t="shared" si="52"/>
        <v>901876.10888857488</v>
      </c>
      <c r="BF59" s="833">
        <f t="shared" si="32"/>
        <v>8106.317434754329</v>
      </c>
      <c r="BG59" s="833">
        <f t="shared" si="33"/>
        <v>10471.546344666263</v>
      </c>
      <c r="BH59" s="833">
        <f t="shared" si="34"/>
        <v>17858.227890900569</v>
      </c>
      <c r="BK59" s="818"/>
      <c r="BL59" s="907">
        <f t="shared" si="64"/>
        <v>45839</v>
      </c>
      <c r="BM59" s="908">
        <f t="shared" si="35"/>
        <v>21</v>
      </c>
      <c r="BN59" s="909"/>
      <c r="BO59" s="907">
        <f t="shared" si="36"/>
        <v>45904</v>
      </c>
      <c r="BP59" s="914">
        <f t="shared" si="61"/>
        <v>23</v>
      </c>
      <c r="BQ59" s="818"/>
      <c r="BR59" s="818"/>
      <c r="BS59" s="818"/>
      <c r="BT59" s="818"/>
      <c r="BU59" s="818"/>
      <c r="BV59" s="818"/>
      <c r="BW59" s="818"/>
      <c r="BX59" s="818"/>
      <c r="BY59" s="818"/>
      <c r="BZ59" s="818"/>
      <c r="CA59" s="968" t="s">
        <v>262</v>
      </c>
      <c r="CB59" s="812" t="s">
        <v>262</v>
      </c>
      <c r="CC59" s="832" t="b">
        <f t="shared" si="38"/>
        <v>1</v>
      </c>
      <c r="CD59" s="717" t="s">
        <v>262</v>
      </c>
      <c r="CE59" s="949" t="b">
        <f t="shared" si="39"/>
        <v>1</v>
      </c>
      <c r="CG59" s="842"/>
      <c r="CH59" s="878"/>
      <c r="ED59" s="947"/>
      <c r="EF59" s="947"/>
      <c r="EG59" s="947"/>
      <c r="EH59" s="947"/>
      <c r="EI59" s="947"/>
      <c r="EJ59" s="947"/>
      <c r="EK59" s="947"/>
      <c r="EL59" s="947"/>
      <c r="EW59" s="840"/>
      <c r="EX59" s="938">
        <f t="shared" si="65"/>
        <v>1061030.7163394999</v>
      </c>
      <c r="EY59" s="942">
        <f t="shared" si="66"/>
        <v>0.15</v>
      </c>
      <c r="EZ59" s="938">
        <f t="shared" si="67"/>
        <v>159154.60745092499</v>
      </c>
      <c r="FA59" s="938">
        <f t="shared" si="68"/>
        <v>10000</v>
      </c>
      <c r="FB59" s="938">
        <f t="shared" si="69"/>
        <v>149154.60745092499</v>
      </c>
      <c r="FC59" s="813">
        <f t="shared" si="62"/>
        <v>33</v>
      </c>
      <c r="FD59" s="814">
        <f t="shared" si="41"/>
        <v>4519.8365894219696</v>
      </c>
      <c r="FE59" s="942">
        <f t="shared" si="42"/>
        <v>0.85</v>
      </c>
      <c r="FF59" s="938">
        <f t="shared" si="43"/>
        <v>901876.10888857488</v>
      </c>
      <c r="FG59" s="940">
        <f t="shared" si="44"/>
        <v>8106.317434754329</v>
      </c>
      <c r="FH59" s="940">
        <f t="shared" si="45"/>
        <v>10471.546344666263</v>
      </c>
      <c r="FI59" s="940">
        <f t="shared" si="46"/>
        <v>17858.227890900569</v>
      </c>
      <c r="FJ59" s="840"/>
      <c r="FK59" s="938">
        <f t="shared" si="70"/>
        <v>-3766.5304911849744</v>
      </c>
      <c r="FN59" s="957"/>
      <c r="FO59" s="957"/>
      <c r="FP59" s="957"/>
      <c r="FU59" s="957"/>
      <c r="FV59" s="957"/>
    </row>
    <row r="60" spans="1:178" s="717" customFormat="1" ht="14.5" hidden="1" x14ac:dyDescent="0.3">
      <c r="A60" s="813">
        <f t="shared" si="47"/>
        <v>49</v>
      </c>
      <c r="B60" s="813"/>
      <c r="C60" s="813" t="s">
        <v>376</v>
      </c>
      <c r="D60" s="813">
        <f t="shared" si="63"/>
        <v>23</v>
      </c>
      <c r="E60" s="813" t="s">
        <v>374</v>
      </c>
      <c r="F60" s="575" t="s">
        <v>522</v>
      </c>
      <c r="G60" s="575" t="s">
        <v>375</v>
      </c>
      <c r="H60" s="575">
        <v>13.5</v>
      </c>
      <c r="I60" s="814">
        <v>52000</v>
      </c>
      <c r="J60" s="815">
        <f t="shared" si="7"/>
        <v>702000</v>
      </c>
      <c r="K60" s="815">
        <v>40000</v>
      </c>
      <c r="L60" s="815">
        <v>65000</v>
      </c>
      <c r="M60" s="815"/>
      <c r="N60" s="815">
        <f t="shared" si="8"/>
        <v>807000</v>
      </c>
      <c r="O60" s="815">
        <f t="shared" si="9"/>
        <v>20175</v>
      </c>
      <c r="P60" s="815">
        <f t="shared" si="10"/>
        <v>827175</v>
      </c>
      <c r="Q60" s="948">
        <f t="shared" si="11"/>
        <v>1.2500000000000001E-2</v>
      </c>
      <c r="R60" s="815">
        <f t="shared" si="12"/>
        <v>10339.6875</v>
      </c>
      <c r="S60" s="955" t="s">
        <v>450</v>
      </c>
      <c r="T60" s="955">
        <f t="shared" si="13"/>
        <v>837514.6875</v>
      </c>
      <c r="U60" s="955"/>
      <c r="V60" s="955">
        <f t="shared" si="14"/>
        <v>31406.80078125</v>
      </c>
      <c r="W60" s="955">
        <f t="shared" si="15"/>
        <v>868921.48828125</v>
      </c>
      <c r="X60" s="955"/>
      <c r="Y60" s="955">
        <f t="shared" si="16"/>
        <v>868921.48828125</v>
      </c>
      <c r="Z60" s="955"/>
      <c r="AA60" s="955">
        <f t="shared" si="17"/>
        <v>868921.48828125</v>
      </c>
      <c r="AB60" s="955"/>
      <c r="AC60" s="955">
        <f t="shared" si="18"/>
        <v>868921.48828125</v>
      </c>
      <c r="AD60" s="955"/>
      <c r="AE60" s="955">
        <f t="shared" si="19"/>
        <v>868921.48828125</v>
      </c>
      <c r="AF60" s="955"/>
      <c r="AG60" s="955">
        <f t="shared" si="20"/>
        <v>868921.48828125</v>
      </c>
      <c r="AH60" s="955"/>
      <c r="AI60" s="955">
        <f t="shared" si="21"/>
        <v>868921.48828125</v>
      </c>
      <c r="AJ60" s="955"/>
      <c r="AK60" s="955">
        <f t="shared" si="22"/>
        <v>868921.48828125</v>
      </c>
      <c r="AL60" s="955"/>
      <c r="AM60" s="955">
        <f t="shared" si="23"/>
        <v>868921.48828125</v>
      </c>
      <c r="AN60" s="955"/>
      <c r="AO60" s="955">
        <f t="shared" si="24"/>
        <v>868921.48828125</v>
      </c>
      <c r="AP60" s="955"/>
      <c r="AQ60" s="1000">
        <f t="shared" si="25"/>
        <v>868921.48828125</v>
      </c>
      <c r="AR60" s="955"/>
      <c r="AS60" s="1000">
        <f t="shared" si="26"/>
        <v>868921.48828125</v>
      </c>
      <c r="AT60" s="815">
        <f t="shared" si="27"/>
        <v>868921.48828125</v>
      </c>
      <c r="AU60" s="815">
        <f t="shared" si="28"/>
        <v>104270.57859374999</v>
      </c>
      <c r="AV60" s="815">
        <f t="shared" si="29"/>
        <v>86892.148828125006</v>
      </c>
      <c r="AW60" s="815">
        <f t="shared" si="57"/>
        <v>1060084.2157031251</v>
      </c>
      <c r="AX60" s="816">
        <v>0.15</v>
      </c>
      <c r="AY60" s="815">
        <f t="shared" si="49"/>
        <v>159012.63235546876</v>
      </c>
      <c r="AZ60" s="815">
        <v>10000</v>
      </c>
      <c r="BA60" s="815">
        <f t="shared" si="50"/>
        <v>149012.63235546876</v>
      </c>
      <c r="BB60" s="825">
        <f t="shared" si="60"/>
        <v>18</v>
      </c>
      <c r="BC60" s="814">
        <f t="shared" si="51"/>
        <v>8278.4795753038197</v>
      </c>
      <c r="BD60" s="817">
        <f t="shared" si="31"/>
        <v>0.85</v>
      </c>
      <c r="BE60" s="815">
        <f t="shared" si="52"/>
        <v>901071.5833476563</v>
      </c>
      <c r="BF60" s="833">
        <f t="shared" si="32"/>
        <v>8099.086131746325</v>
      </c>
      <c r="BG60" s="833">
        <f t="shared" si="33"/>
        <v>10462.205120961404</v>
      </c>
      <c r="BH60" s="833">
        <f t="shared" si="34"/>
        <v>17842.297320934056</v>
      </c>
      <c r="BK60" s="818"/>
      <c r="BL60" s="907">
        <f t="shared" si="64"/>
        <v>45839</v>
      </c>
      <c r="BM60" s="908">
        <f t="shared" si="35"/>
        <v>21</v>
      </c>
      <c r="BN60" s="909"/>
      <c r="BO60" s="907">
        <f t="shared" si="36"/>
        <v>45904</v>
      </c>
      <c r="BP60" s="914">
        <f t="shared" si="61"/>
        <v>23</v>
      </c>
      <c r="BQ60" s="818"/>
      <c r="BR60" s="818"/>
      <c r="BS60" s="818"/>
      <c r="BT60" s="818"/>
      <c r="BU60" s="818"/>
      <c r="BV60" s="818"/>
      <c r="BW60" s="818"/>
      <c r="BX60" s="818"/>
      <c r="BY60" s="818"/>
      <c r="BZ60" s="818"/>
      <c r="CA60" s="968" t="s">
        <v>328</v>
      </c>
      <c r="CB60" s="812" t="s">
        <v>328</v>
      </c>
      <c r="CC60" s="832" t="b">
        <f t="shared" si="38"/>
        <v>1</v>
      </c>
      <c r="CD60" s="717" t="s">
        <v>328</v>
      </c>
      <c r="CE60" s="949" t="b">
        <f t="shared" si="39"/>
        <v>1</v>
      </c>
      <c r="CG60" s="842"/>
      <c r="CH60" s="878"/>
      <c r="ED60" s="947"/>
      <c r="EF60" s="947"/>
      <c r="EG60" s="947"/>
      <c r="EH60" s="947"/>
      <c r="EI60" s="947"/>
      <c r="EJ60" s="947"/>
      <c r="EK60" s="947"/>
      <c r="EL60" s="947"/>
      <c r="EW60" s="840"/>
      <c r="EX60" s="938">
        <f t="shared" si="65"/>
        <v>1060084.2157031251</v>
      </c>
      <c r="EY60" s="942">
        <f t="shared" si="66"/>
        <v>0.15</v>
      </c>
      <c r="EZ60" s="938">
        <f t="shared" si="67"/>
        <v>159012.63235546876</v>
      </c>
      <c r="FA60" s="938">
        <f t="shared" si="68"/>
        <v>10000</v>
      </c>
      <c r="FB60" s="938">
        <f t="shared" si="69"/>
        <v>149012.63235546876</v>
      </c>
      <c r="FC60" s="813">
        <f t="shared" si="62"/>
        <v>33</v>
      </c>
      <c r="FD60" s="814">
        <f t="shared" si="41"/>
        <v>4515.5343138020835</v>
      </c>
      <c r="FE60" s="942">
        <f t="shared" si="42"/>
        <v>0.85</v>
      </c>
      <c r="FF60" s="938">
        <f t="shared" si="43"/>
        <v>901071.5833476563</v>
      </c>
      <c r="FG60" s="940">
        <f t="shared" si="44"/>
        <v>8099.086131746325</v>
      </c>
      <c r="FH60" s="940">
        <f t="shared" si="45"/>
        <v>10462.205120961404</v>
      </c>
      <c r="FI60" s="940">
        <f t="shared" si="46"/>
        <v>17842.297320934056</v>
      </c>
      <c r="FJ60" s="840"/>
      <c r="FK60" s="938">
        <f t="shared" si="70"/>
        <v>-3762.9452615017362</v>
      </c>
      <c r="FN60" s="957"/>
      <c r="FO60" s="957"/>
      <c r="FP60" s="957"/>
      <c r="FU60" s="957"/>
      <c r="FV60" s="957"/>
    </row>
    <row r="61" spans="1:178" s="717" customFormat="1" ht="14.5" hidden="1" x14ac:dyDescent="0.3">
      <c r="A61" s="813">
        <f t="shared" si="47"/>
        <v>50</v>
      </c>
      <c r="B61" s="813"/>
      <c r="C61" s="813" t="s">
        <v>376</v>
      </c>
      <c r="D61" s="813">
        <f t="shared" si="63"/>
        <v>24</v>
      </c>
      <c r="E61" s="813" t="s">
        <v>374</v>
      </c>
      <c r="F61" s="575" t="s">
        <v>523</v>
      </c>
      <c r="G61" s="575" t="s">
        <v>375</v>
      </c>
      <c r="H61" s="575">
        <v>13.5</v>
      </c>
      <c r="I61" s="814">
        <v>52000</v>
      </c>
      <c r="J61" s="815">
        <f t="shared" si="7"/>
        <v>702000</v>
      </c>
      <c r="K61" s="815">
        <v>40000</v>
      </c>
      <c r="L61" s="815">
        <v>65000</v>
      </c>
      <c r="M61" s="815"/>
      <c r="N61" s="815">
        <f t="shared" si="8"/>
        <v>807000</v>
      </c>
      <c r="O61" s="815">
        <f t="shared" si="9"/>
        <v>20175</v>
      </c>
      <c r="P61" s="815">
        <f t="shared" si="10"/>
        <v>827175</v>
      </c>
      <c r="Q61" s="948">
        <f t="shared" si="11"/>
        <v>1.2500000000000001E-2</v>
      </c>
      <c r="R61" s="815">
        <f t="shared" si="12"/>
        <v>10339.6875</v>
      </c>
      <c r="S61" s="955" t="s">
        <v>450</v>
      </c>
      <c r="T61" s="955">
        <f t="shared" si="13"/>
        <v>837514.6875</v>
      </c>
      <c r="U61" s="955"/>
      <c r="V61" s="955">
        <f t="shared" si="14"/>
        <v>31406.80078125</v>
      </c>
      <c r="W61" s="955">
        <f t="shared" si="15"/>
        <v>868921.48828125</v>
      </c>
      <c r="X61" s="955"/>
      <c r="Y61" s="955">
        <f t="shared" si="16"/>
        <v>868921.48828125</v>
      </c>
      <c r="Z61" s="955"/>
      <c r="AA61" s="955">
        <f t="shared" si="17"/>
        <v>868921.48828125</v>
      </c>
      <c r="AB61" s="955"/>
      <c r="AC61" s="955">
        <f t="shared" si="18"/>
        <v>868921.48828125</v>
      </c>
      <c r="AD61" s="955"/>
      <c r="AE61" s="955">
        <f t="shared" si="19"/>
        <v>868921.48828125</v>
      </c>
      <c r="AF61" s="955"/>
      <c r="AG61" s="955">
        <f t="shared" si="20"/>
        <v>868921.48828125</v>
      </c>
      <c r="AH61" s="955"/>
      <c r="AI61" s="955">
        <f t="shared" si="21"/>
        <v>868921.48828125</v>
      </c>
      <c r="AJ61" s="955"/>
      <c r="AK61" s="955">
        <f t="shared" si="22"/>
        <v>868921.48828125</v>
      </c>
      <c r="AL61" s="955"/>
      <c r="AM61" s="955">
        <f t="shared" si="23"/>
        <v>868921.48828125</v>
      </c>
      <c r="AN61" s="955"/>
      <c r="AO61" s="955">
        <f t="shared" si="24"/>
        <v>868921.48828125</v>
      </c>
      <c r="AP61" s="955"/>
      <c r="AQ61" s="1000">
        <f t="shared" si="25"/>
        <v>868921.48828125</v>
      </c>
      <c r="AR61" s="955"/>
      <c r="AS61" s="1000">
        <f t="shared" si="26"/>
        <v>868921.48828125</v>
      </c>
      <c r="AT61" s="815">
        <f t="shared" si="27"/>
        <v>868921.48828125</v>
      </c>
      <c r="AU61" s="815">
        <f t="shared" si="28"/>
        <v>104270.57859374999</v>
      </c>
      <c r="AV61" s="815">
        <f t="shared" si="29"/>
        <v>86892.148828125006</v>
      </c>
      <c r="AW61" s="815">
        <f t="shared" si="57"/>
        <v>1060084.2157031251</v>
      </c>
      <c r="AX61" s="816">
        <v>0.15</v>
      </c>
      <c r="AY61" s="815">
        <f t="shared" si="49"/>
        <v>159012.63235546876</v>
      </c>
      <c r="AZ61" s="815">
        <v>10000</v>
      </c>
      <c r="BA61" s="815">
        <f t="shared" si="50"/>
        <v>149012.63235546876</v>
      </c>
      <c r="BB61" s="825">
        <f t="shared" si="60"/>
        <v>18</v>
      </c>
      <c r="BC61" s="814">
        <f t="shared" si="51"/>
        <v>8278.4795753038197</v>
      </c>
      <c r="BD61" s="817">
        <f t="shared" si="31"/>
        <v>0.85</v>
      </c>
      <c r="BE61" s="815">
        <f t="shared" si="52"/>
        <v>901071.5833476563</v>
      </c>
      <c r="BF61" s="833">
        <f t="shared" si="32"/>
        <v>8099.086131746325</v>
      </c>
      <c r="BG61" s="833">
        <f t="shared" si="33"/>
        <v>10462.205120961404</v>
      </c>
      <c r="BH61" s="833">
        <f t="shared" si="34"/>
        <v>17842.297320934056</v>
      </c>
      <c r="BK61" s="818"/>
      <c r="BL61" s="907">
        <f t="shared" si="64"/>
        <v>45839</v>
      </c>
      <c r="BM61" s="908">
        <f t="shared" si="35"/>
        <v>21</v>
      </c>
      <c r="BN61" s="909"/>
      <c r="BO61" s="907">
        <f t="shared" si="36"/>
        <v>45904</v>
      </c>
      <c r="BP61" s="914">
        <f t="shared" si="61"/>
        <v>23</v>
      </c>
      <c r="BQ61" s="818"/>
      <c r="BR61" s="818"/>
      <c r="BS61" s="818"/>
      <c r="BT61" s="818"/>
      <c r="BU61" s="818"/>
      <c r="BV61" s="818"/>
      <c r="BW61" s="818"/>
      <c r="BX61" s="818"/>
      <c r="BY61" s="818"/>
      <c r="BZ61" s="818"/>
      <c r="CA61" s="968" t="s">
        <v>262</v>
      </c>
      <c r="CB61" s="812" t="s">
        <v>262</v>
      </c>
      <c r="CC61" s="832" t="b">
        <f t="shared" si="38"/>
        <v>1</v>
      </c>
      <c r="CD61" s="717" t="s">
        <v>262</v>
      </c>
      <c r="CE61" s="949" t="b">
        <f t="shared" si="39"/>
        <v>1</v>
      </c>
      <c r="CG61" s="842"/>
      <c r="CH61" s="878"/>
      <c r="ED61" s="947"/>
      <c r="EF61" s="947"/>
      <c r="EG61" s="947"/>
      <c r="EH61" s="947"/>
      <c r="EI61" s="947"/>
      <c r="EJ61" s="947"/>
      <c r="EK61" s="947"/>
      <c r="EL61" s="947"/>
      <c r="EW61" s="840"/>
      <c r="EX61" s="938">
        <f t="shared" si="65"/>
        <v>1060084.2157031251</v>
      </c>
      <c r="EY61" s="942">
        <f t="shared" si="66"/>
        <v>0.15</v>
      </c>
      <c r="EZ61" s="938">
        <f t="shared" si="67"/>
        <v>159012.63235546876</v>
      </c>
      <c r="FA61" s="938">
        <f t="shared" si="68"/>
        <v>10000</v>
      </c>
      <c r="FB61" s="938">
        <f t="shared" si="69"/>
        <v>149012.63235546876</v>
      </c>
      <c r="FC61" s="813">
        <f t="shared" si="62"/>
        <v>33</v>
      </c>
      <c r="FD61" s="814">
        <f t="shared" si="41"/>
        <v>4515.5343138020835</v>
      </c>
      <c r="FE61" s="942">
        <f t="shared" si="42"/>
        <v>0.85</v>
      </c>
      <c r="FF61" s="938">
        <f t="shared" si="43"/>
        <v>901071.5833476563</v>
      </c>
      <c r="FG61" s="940">
        <f t="shared" si="44"/>
        <v>8099.086131746325</v>
      </c>
      <c r="FH61" s="940">
        <f t="shared" si="45"/>
        <v>10462.205120961404</v>
      </c>
      <c r="FI61" s="940">
        <f t="shared" si="46"/>
        <v>17842.297320934056</v>
      </c>
      <c r="FJ61" s="840"/>
      <c r="FK61" s="938">
        <f t="shared" si="70"/>
        <v>-3762.9452615017362</v>
      </c>
      <c r="FN61" s="957"/>
      <c r="FO61" s="957"/>
      <c r="FP61" s="957"/>
      <c r="FU61" s="957"/>
      <c r="FV61" s="957"/>
    </row>
    <row r="62" spans="1:178" s="717" customFormat="1" ht="14.5" hidden="1" x14ac:dyDescent="0.3">
      <c r="A62" s="813">
        <f t="shared" si="47"/>
        <v>51</v>
      </c>
      <c r="B62" s="813"/>
      <c r="C62" s="813" t="s">
        <v>376</v>
      </c>
      <c r="D62" s="813">
        <f t="shared" si="63"/>
        <v>25</v>
      </c>
      <c r="E62" s="813" t="s">
        <v>374</v>
      </c>
      <c r="F62" s="575" t="s">
        <v>524</v>
      </c>
      <c r="G62" s="575" t="s">
        <v>375</v>
      </c>
      <c r="H62" s="575">
        <v>13.5</v>
      </c>
      <c r="I62" s="814">
        <v>52000</v>
      </c>
      <c r="J62" s="815">
        <f t="shared" si="7"/>
        <v>702000</v>
      </c>
      <c r="K62" s="815">
        <v>40000</v>
      </c>
      <c r="L62" s="815">
        <v>65000</v>
      </c>
      <c r="M62" s="815"/>
      <c r="N62" s="815">
        <f t="shared" si="8"/>
        <v>807000</v>
      </c>
      <c r="O62" s="815">
        <f t="shared" si="9"/>
        <v>20175</v>
      </c>
      <c r="P62" s="815">
        <f t="shared" si="10"/>
        <v>827175</v>
      </c>
      <c r="Q62" s="948">
        <f t="shared" si="11"/>
        <v>1.2500000000000001E-2</v>
      </c>
      <c r="R62" s="815">
        <f t="shared" si="12"/>
        <v>10339.6875</v>
      </c>
      <c r="S62" s="955" t="s">
        <v>450</v>
      </c>
      <c r="T62" s="955">
        <f t="shared" si="13"/>
        <v>837514.6875</v>
      </c>
      <c r="U62" s="955"/>
      <c r="V62" s="955">
        <f t="shared" si="14"/>
        <v>31406.80078125</v>
      </c>
      <c r="W62" s="955">
        <f t="shared" si="15"/>
        <v>868921.48828125</v>
      </c>
      <c r="X62" s="955"/>
      <c r="Y62" s="955">
        <f t="shared" si="16"/>
        <v>868921.48828125</v>
      </c>
      <c r="Z62" s="955"/>
      <c r="AA62" s="955">
        <f t="shared" si="17"/>
        <v>868921.48828125</v>
      </c>
      <c r="AB62" s="955"/>
      <c r="AC62" s="955">
        <f t="shared" si="18"/>
        <v>868921.48828125</v>
      </c>
      <c r="AD62" s="955"/>
      <c r="AE62" s="955">
        <f t="shared" si="19"/>
        <v>868921.48828125</v>
      </c>
      <c r="AF62" s="955"/>
      <c r="AG62" s="955">
        <f t="shared" si="20"/>
        <v>868921.48828125</v>
      </c>
      <c r="AH62" s="955"/>
      <c r="AI62" s="955">
        <f t="shared" si="21"/>
        <v>868921.48828125</v>
      </c>
      <c r="AJ62" s="955"/>
      <c r="AK62" s="955">
        <f t="shared" si="22"/>
        <v>868921.48828125</v>
      </c>
      <c r="AL62" s="955"/>
      <c r="AM62" s="955">
        <f t="shared" si="23"/>
        <v>868921.48828125</v>
      </c>
      <c r="AN62" s="955"/>
      <c r="AO62" s="955">
        <f t="shared" si="24"/>
        <v>868921.48828125</v>
      </c>
      <c r="AP62" s="955"/>
      <c r="AQ62" s="1000">
        <f t="shared" si="25"/>
        <v>868921.48828125</v>
      </c>
      <c r="AR62" s="955"/>
      <c r="AS62" s="1000">
        <f t="shared" si="26"/>
        <v>868921.48828125</v>
      </c>
      <c r="AT62" s="815">
        <f t="shared" si="27"/>
        <v>868921.48828125</v>
      </c>
      <c r="AU62" s="815">
        <f t="shared" si="28"/>
        <v>104270.57859374999</v>
      </c>
      <c r="AV62" s="815">
        <f t="shared" si="29"/>
        <v>86892.148828125006</v>
      </c>
      <c r="AW62" s="815">
        <f t="shared" si="57"/>
        <v>1060084.2157031251</v>
      </c>
      <c r="AX62" s="816">
        <v>0.15</v>
      </c>
      <c r="AY62" s="815">
        <f t="shared" si="49"/>
        <v>159012.63235546876</v>
      </c>
      <c r="AZ62" s="815">
        <v>10000</v>
      </c>
      <c r="BA62" s="815">
        <f t="shared" si="50"/>
        <v>149012.63235546876</v>
      </c>
      <c r="BB62" s="825">
        <f t="shared" si="60"/>
        <v>18</v>
      </c>
      <c r="BC62" s="814">
        <f t="shared" si="51"/>
        <v>8278.4795753038197</v>
      </c>
      <c r="BD62" s="817">
        <f t="shared" si="31"/>
        <v>0.85</v>
      </c>
      <c r="BE62" s="815">
        <f t="shared" si="52"/>
        <v>901071.5833476563</v>
      </c>
      <c r="BF62" s="833">
        <f t="shared" si="32"/>
        <v>8099.086131746325</v>
      </c>
      <c r="BG62" s="833">
        <f t="shared" si="33"/>
        <v>10462.205120961404</v>
      </c>
      <c r="BH62" s="833">
        <f t="shared" si="34"/>
        <v>17842.297320934056</v>
      </c>
      <c r="BK62" s="818"/>
      <c r="BL62" s="907">
        <f t="shared" si="64"/>
        <v>45839</v>
      </c>
      <c r="BM62" s="908">
        <f t="shared" si="35"/>
        <v>21</v>
      </c>
      <c r="BN62" s="909"/>
      <c r="BO62" s="907">
        <f t="shared" si="36"/>
        <v>45904</v>
      </c>
      <c r="BP62" s="914">
        <f t="shared" si="61"/>
        <v>23</v>
      </c>
      <c r="BQ62" s="818"/>
      <c r="BR62" s="818"/>
      <c r="BS62" s="818"/>
      <c r="BT62" s="818"/>
      <c r="BU62" s="818"/>
      <c r="BV62" s="818"/>
      <c r="BW62" s="818"/>
      <c r="BX62" s="818"/>
      <c r="BY62" s="818"/>
      <c r="BZ62" s="818"/>
      <c r="CA62" s="968" t="s">
        <v>262</v>
      </c>
      <c r="CB62" s="812" t="s">
        <v>262</v>
      </c>
      <c r="CC62" s="832" t="b">
        <f t="shared" si="38"/>
        <v>1</v>
      </c>
      <c r="CD62" s="717" t="s">
        <v>262</v>
      </c>
      <c r="CE62" s="949" t="b">
        <f t="shared" si="39"/>
        <v>1</v>
      </c>
      <c r="CG62" s="842"/>
      <c r="CH62" s="878"/>
      <c r="ED62" s="947"/>
      <c r="EF62" s="947"/>
      <c r="EG62" s="947"/>
      <c r="EH62" s="947"/>
      <c r="EI62" s="947"/>
      <c r="EJ62" s="947"/>
      <c r="EK62" s="947"/>
      <c r="EL62" s="947"/>
      <c r="EW62" s="840"/>
      <c r="EX62" s="938">
        <f t="shared" si="65"/>
        <v>1060084.2157031251</v>
      </c>
      <c r="EY62" s="942">
        <f t="shared" si="66"/>
        <v>0.15</v>
      </c>
      <c r="EZ62" s="938">
        <f t="shared" si="67"/>
        <v>159012.63235546876</v>
      </c>
      <c r="FA62" s="938">
        <f t="shared" si="68"/>
        <v>10000</v>
      </c>
      <c r="FB62" s="938">
        <f t="shared" si="69"/>
        <v>149012.63235546876</v>
      </c>
      <c r="FC62" s="813">
        <f t="shared" si="62"/>
        <v>33</v>
      </c>
      <c r="FD62" s="814">
        <f t="shared" si="41"/>
        <v>4515.5343138020835</v>
      </c>
      <c r="FE62" s="942">
        <f t="shared" si="42"/>
        <v>0.85</v>
      </c>
      <c r="FF62" s="938">
        <f t="shared" si="43"/>
        <v>901071.5833476563</v>
      </c>
      <c r="FG62" s="940">
        <f t="shared" si="44"/>
        <v>8099.086131746325</v>
      </c>
      <c r="FH62" s="940">
        <f t="shared" si="45"/>
        <v>10462.205120961404</v>
      </c>
      <c r="FI62" s="940">
        <f t="shared" si="46"/>
        <v>17842.297320934056</v>
      </c>
      <c r="FJ62" s="840"/>
      <c r="FK62" s="938">
        <f t="shared" si="70"/>
        <v>-3762.9452615017362</v>
      </c>
      <c r="FN62" s="957"/>
      <c r="FO62" s="957"/>
      <c r="FP62" s="957"/>
      <c r="FU62" s="957"/>
      <c r="FV62" s="957"/>
    </row>
    <row r="63" spans="1:178" s="717" customFormat="1" ht="14.5" hidden="1" x14ac:dyDescent="0.3">
      <c r="A63" s="1052">
        <f t="shared" si="47"/>
        <v>52</v>
      </c>
      <c r="B63" s="813"/>
      <c r="C63" s="1052" t="s">
        <v>376</v>
      </c>
      <c r="D63" s="813">
        <f t="shared" si="63"/>
        <v>26</v>
      </c>
      <c r="E63" s="1052" t="s">
        <v>374</v>
      </c>
      <c r="F63" s="1053" t="s">
        <v>525</v>
      </c>
      <c r="G63" s="1053" t="s">
        <v>375</v>
      </c>
      <c r="H63" s="1053">
        <v>13.5</v>
      </c>
      <c r="I63" s="1054">
        <v>52000</v>
      </c>
      <c r="J63" s="950">
        <f t="shared" si="7"/>
        <v>702000</v>
      </c>
      <c r="K63" s="950">
        <v>40000</v>
      </c>
      <c r="L63" s="950">
        <v>65000</v>
      </c>
      <c r="M63" s="950"/>
      <c r="N63" s="950">
        <f t="shared" si="8"/>
        <v>807000</v>
      </c>
      <c r="O63" s="950">
        <f t="shared" si="9"/>
        <v>20175</v>
      </c>
      <c r="P63" s="950">
        <f t="shared" si="10"/>
        <v>827175</v>
      </c>
      <c r="Q63" s="1056">
        <f t="shared" si="11"/>
        <v>1.2500000000000001E-2</v>
      </c>
      <c r="R63" s="950">
        <f t="shared" si="12"/>
        <v>10339.6875</v>
      </c>
      <c r="S63" s="1057" t="s">
        <v>450</v>
      </c>
      <c r="T63" s="1057">
        <f t="shared" si="13"/>
        <v>837514.6875</v>
      </c>
      <c r="U63" s="1057"/>
      <c r="V63" s="1057">
        <f t="shared" si="14"/>
        <v>31406.80078125</v>
      </c>
      <c r="W63" s="1057">
        <f t="shared" si="15"/>
        <v>868921.48828125</v>
      </c>
      <c r="X63" s="1057"/>
      <c r="Y63" s="1057">
        <f t="shared" si="16"/>
        <v>868921.48828125</v>
      </c>
      <c r="Z63" s="1057"/>
      <c r="AA63" s="1057">
        <f t="shared" si="17"/>
        <v>868921.48828125</v>
      </c>
      <c r="AB63" s="1057"/>
      <c r="AC63" s="1057">
        <f t="shared" si="18"/>
        <v>868921.48828125</v>
      </c>
      <c r="AD63" s="1057"/>
      <c r="AE63" s="1057">
        <f t="shared" si="19"/>
        <v>868921.48828125</v>
      </c>
      <c r="AF63" s="1057"/>
      <c r="AG63" s="1057">
        <f t="shared" si="20"/>
        <v>868921.48828125</v>
      </c>
      <c r="AH63" s="1057"/>
      <c r="AI63" s="1057">
        <f t="shared" si="21"/>
        <v>868921.48828125</v>
      </c>
      <c r="AJ63" s="1057"/>
      <c r="AK63" s="1057">
        <f t="shared" si="22"/>
        <v>868921.48828125</v>
      </c>
      <c r="AL63" s="1057"/>
      <c r="AM63" s="1057">
        <f t="shared" si="23"/>
        <v>868921.48828125</v>
      </c>
      <c r="AN63" s="1057"/>
      <c r="AO63" s="1057">
        <f t="shared" si="24"/>
        <v>868921.48828125</v>
      </c>
      <c r="AP63" s="1057"/>
      <c r="AQ63" s="1000">
        <f t="shared" si="25"/>
        <v>868921.48828125</v>
      </c>
      <c r="AR63" s="1057"/>
      <c r="AS63" s="1000">
        <f t="shared" si="26"/>
        <v>868921.48828125</v>
      </c>
      <c r="AT63" s="950">
        <f t="shared" si="27"/>
        <v>868921.48828125</v>
      </c>
      <c r="AU63" s="950">
        <f t="shared" si="28"/>
        <v>104270.57859374999</v>
      </c>
      <c r="AV63" s="950">
        <f t="shared" si="29"/>
        <v>86892.148828125006</v>
      </c>
      <c r="AW63" s="950">
        <f t="shared" si="57"/>
        <v>1060084.2157031251</v>
      </c>
      <c r="AX63" s="1058">
        <v>0.15</v>
      </c>
      <c r="AY63" s="950">
        <f t="shared" si="49"/>
        <v>159012.63235546876</v>
      </c>
      <c r="AZ63" s="950">
        <v>10000</v>
      </c>
      <c r="BA63" s="950">
        <f t="shared" si="50"/>
        <v>149012.63235546876</v>
      </c>
      <c r="BB63" s="1055">
        <f t="shared" si="60"/>
        <v>18</v>
      </c>
      <c r="BC63" s="1054">
        <f t="shared" si="51"/>
        <v>8278.4795753038197</v>
      </c>
      <c r="BD63" s="1059">
        <f t="shared" si="31"/>
        <v>0.85</v>
      </c>
      <c r="BE63" s="950">
        <f t="shared" si="52"/>
        <v>901071.5833476563</v>
      </c>
      <c r="BF63" s="1060">
        <f t="shared" si="32"/>
        <v>8099.086131746325</v>
      </c>
      <c r="BG63" s="1060">
        <f t="shared" si="33"/>
        <v>10462.205120961404</v>
      </c>
      <c r="BH63" s="1060">
        <f t="shared" si="34"/>
        <v>17842.297320934056</v>
      </c>
      <c r="BK63" s="818"/>
      <c r="BL63" s="907">
        <f t="shared" si="64"/>
        <v>45839</v>
      </c>
      <c r="BM63" s="908">
        <f t="shared" si="35"/>
        <v>21</v>
      </c>
      <c r="BN63" s="909"/>
      <c r="BO63" s="907">
        <f t="shared" si="36"/>
        <v>45904</v>
      </c>
      <c r="BP63" s="914">
        <f t="shared" si="61"/>
        <v>23</v>
      </c>
      <c r="BQ63" s="818"/>
      <c r="BR63" s="818"/>
      <c r="BS63" s="818"/>
      <c r="BT63" s="818"/>
      <c r="BU63" s="818"/>
      <c r="BV63" s="818"/>
      <c r="BW63" s="818"/>
      <c r="BX63" s="818"/>
      <c r="BY63" s="818"/>
      <c r="BZ63" s="818"/>
      <c r="CA63" s="968" t="s">
        <v>262</v>
      </c>
      <c r="CB63" s="812" t="s">
        <v>262</v>
      </c>
      <c r="CC63" s="832" t="b">
        <f t="shared" si="38"/>
        <v>1</v>
      </c>
      <c r="CD63" s="717" t="s">
        <v>262</v>
      </c>
      <c r="CE63" s="949" t="b">
        <f t="shared" si="39"/>
        <v>1</v>
      </c>
      <c r="CG63" s="842"/>
      <c r="CH63" s="878"/>
      <c r="ED63" s="947"/>
      <c r="EF63" s="947"/>
      <c r="EG63" s="947"/>
      <c r="EH63" s="947"/>
      <c r="EI63" s="947"/>
      <c r="EJ63" s="947"/>
      <c r="EK63" s="947"/>
      <c r="EL63" s="947"/>
      <c r="EW63" s="840"/>
      <c r="EX63" s="938">
        <f t="shared" si="65"/>
        <v>1060084.2157031251</v>
      </c>
      <c r="EY63" s="942">
        <f t="shared" si="66"/>
        <v>0.15</v>
      </c>
      <c r="EZ63" s="938">
        <f t="shared" si="67"/>
        <v>159012.63235546876</v>
      </c>
      <c r="FA63" s="938">
        <f t="shared" si="68"/>
        <v>10000</v>
      </c>
      <c r="FB63" s="938">
        <f t="shared" si="69"/>
        <v>149012.63235546876</v>
      </c>
      <c r="FC63" s="813">
        <f t="shared" si="62"/>
        <v>33</v>
      </c>
      <c r="FD63" s="814">
        <f t="shared" si="41"/>
        <v>4515.5343138020835</v>
      </c>
      <c r="FE63" s="942">
        <f t="shared" si="42"/>
        <v>0.85</v>
      </c>
      <c r="FF63" s="938">
        <f t="shared" si="43"/>
        <v>901071.5833476563</v>
      </c>
      <c r="FG63" s="940">
        <f t="shared" si="44"/>
        <v>8099.086131746325</v>
      </c>
      <c r="FH63" s="940">
        <f t="shared" si="45"/>
        <v>10462.205120961404</v>
      </c>
      <c r="FI63" s="940">
        <f t="shared" si="46"/>
        <v>17842.297320934056</v>
      </c>
      <c r="FJ63" s="840"/>
      <c r="FK63" s="938">
        <f t="shared" si="70"/>
        <v>-3762.9452615017362</v>
      </c>
      <c r="FN63" s="957"/>
      <c r="FO63" s="957"/>
      <c r="FP63" s="957"/>
      <c r="FU63" s="957"/>
      <c r="FV63" s="957"/>
    </row>
    <row r="64" spans="1:178" s="820" customFormat="1" ht="15" thickBot="1" x14ac:dyDescent="0.35">
      <c r="A64" s="813">
        <f t="shared" si="47"/>
        <v>53</v>
      </c>
      <c r="B64" s="819"/>
      <c r="C64" s="813" t="s">
        <v>376</v>
      </c>
      <c r="D64" s="819">
        <f t="shared" si="63"/>
        <v>27</v>
      </c>
      <c r="E64" s="813" t="s">
        <v>374</v>
      </c>
      <c r="F64" s="575" t="s">
        <v>526</v>
      </c>
      <c r="G64" s="575" t="s">
        <v>375</v>
      </c>
      <c r="H64" s="575">
        <v>13.5</v>
      </c>
      <c r="I64" s="814">
        <v>52000</v>
      </c>
      <c r="J64" s="815">
        <f t="shared" si="7"/>
        <v>702000</v>
      </c>
      <c r="K64" s="815">
        <v>40000</v>
      </c>
      <c r="L64" s="815">
        <v>65000</v>
      </c>
      <c r="M64" s="815"/>
      <c r="N64" s="815">
        <f t="shared" si="8"/>
        <v>807000</v>
      </c>
      <c r="O64" s="815">
        <f t="shared" si="9"/>
        <v>20175</v>
      </c>
      <c r="P64" s="815">
        <f t="shared" si="10"/>
        <v>827175</v>
      </c>
      <c r="Q64" s="948">
        <f t="shared" si="11"/>
        <v>1.2500000000000001E-2</v>
      </c>
      <c r="R64" s="815">
        <f t="shared" si="12"/>
        <v>10339.6875</v>
      </c>
      <c r="S64" s="955">
        <v>747.77850000000001</v>
      </c>
      <c r="T64" s="955">
        <f t="shared" si="13"/>
        <v>838262.46600000001</v>
      </c>
      <c r="U64" s="955"/>
      <c r="V64" s="955">
        <f t="shared" si="14"/>
        <v>31434.842474999998</v>
      </c>
      <c r="W64" s="955">
        <f t="shared" si="15"/>
        <v>869697.30847499997</v>
      </c>
      <c r="X64" s="955"/>
      <c r="Y64" s="955">
        <f t="shared" si="16"/>
        <v>869697.30847499997</v>
      </c>
      <c r="Z64" s="955"/>
      <c r="AA64" s="955">
        <f t="shared" si="17"/>
        <v>869697.30847499997</v>
      </c>
      <c r="AB64" s="955"/>
      <c r="AC64" s="955">
        <f t="shared" si="18"/>
        <v>869697.30847499997</v>
      </c>
      <c r="AD64" s="955"/>
      <c r="AE64" s="955">
        <f t="shared" si="19"/>
        <v>869697.30847499997</v>
      </c>
      <c r="AF64" s="955"/>
      <c r="AG64" s="955">
        <f t="shared" si="20"/>
        <v>869697.30847499997</v>
      </c>
      <c r="AH64" s="955"/>
      <c r="AI64" s="955">
        <f t="shared" si="21"/>
        <v>869697.30847499997</v>
      </c>
      <c r="AJ64" s="955"/>
      <c r="AK64" s="955">
        <f t="shared" si="22"/>
        <v>869697.30847499997</v>
      </c>
      <c r="AL64" s="955"/>
      <c r="AM64" s="955">
        <f t="shared" si="23"/>
        <v>869697.30847499997</v>
      </c>
      <c r="AN64" s="955"/>
      <c r="AO64" s="1000">
        <f t="shared" si="24"/>
        <v>869697.30847499997</v>
      </c>
      <c r="AP64" s="1000"/>
      <c r="AQ64" s="1000">
        <f t="shared" si="25"/>
        <v>869697.30847499997</v>
      </c>
      <c r="AR64" s="1000"/>
      <c r="AS64" s="1000">
        <f t="shared" si="26"/>
        <v>869697.30847499997</v>
      </c>
      <c r="AT64" s="815">
        <f t="shared" si="27"/>
        <v>869697.30847499997</v>
      </c>
      <c r="AU64" s="815">
        <f t="shared" si="28"/>
        <v>104363.67701699999</v>
      </c>
      <c r="AV64" s="815">
        <f t="shared" si="29"/>
        <v>86969.730847500003</v>
      </c>
      <c r="AW64" s="815">
        <f t="shared" si="57"/>
        <v>1061030.7163394999</v>
      </c>
      <c r="AX64" s="816">
        <v>0.15</v>
      </c>
      <c r="AY64" s="815">
        <f t="shared" si="49"/>
        <v>159154.60745092499</v>
      </c>
      <c r="AZ64" s="815">
        <v>10000</v>
      </c>
      <c r="BA64" s="815">
        <f t="shared" si="50"/>
        <v>149154.60745092499</v>
      </c>
      <c r="BB64" s="815">
        <f t="shared" si="60"/>
        <v>18</v>
      </c>
      <c r="BC64" s="814">
        <f t="shared" si="51"/>
        <v>8286.367080606944</v>
      </c>
      <c r="BD64" s="817">
        <f t="shared" si="31"/>
        <v>0.85</v>
      </c>
      <c r="BE64" s="815">
        <f t="shared" si="52"/>
        <v>901876.10888857488</v>
      </c>
      <c r="BF64" s="833">
        <f t="shared" si="32"/>
        <v>8106.317434754329</v>
      </c>
      <c r="BG64" s="833">
        <f t="shared" si="33"/>
        <v>10471.546344666263</v>
      </c>
      <c r="BH64" s="833">
        <f t="shared" si="34"/>
        <v>17858.227890900569</v>
      </c>
      <c r="BK64" s="821"/>
      <c r="BL64" s="910">
        <f t="shared" si="64"/>
        <v>45839</v>
      </c>
      <c r="BM64" s="911">
        <f t="shared" si="35"/>
        <v>21</v>
      </c>
      <c r="BN64" s="912"/>
      <c r="BO64" s="910">
        <f t="shared" si="36"/>
        <v>45904</v>
      </c>
      <c r="BP64" s="914">
        <f t="shared" si="61"/>
        <v>23</v>
      </c>
      <c r="BQ64" s="821"/>
      <c r="BR64" s="821"/>
      <c r="BS64" s="821"/>
      <c r="BT64" s="821"/>
      <c r="BU64" s="821"/>
      <c r="BV64" s="821"/>
      <c r="BW64" s="821"/>
      <c r="BX64" s="821"/>
      <c r="BY64" s="821"/>
      <c r="BZ64" s="821"/>
      <c r="CA64" s="968" t="s">
        <v>263</v>
      </c>
      <c r="CB64" s="812" t="s">
        <v>263</v>
      </c>
      <c r="CC64" s="832" t="b">
        <f t="shared" si="38"/>
        <v>1</v>
      </c>
      <c r="CD64" s="717" t="s">
        <v>263</v>
      </c>
      <c r="CE64" s="949" t="b">
        <f t="shared" si="39"/>
        <v>1</v>
      </c>
      <c r="CF64" s="717"/>
      <c r="CG64" s="842"/>
      <c r="CH64" s="878"/>
      <c r="EC64" s="717"/>
      <c r="ED64" s="947"/>
      <c r="EE64" s="717"/>
      <c r="EF64" s="947"/>
      <c r="EG64" s="947"/>
      <c r="EH64" s="947"/>
      <c r="EI64" s="947"/>
      <c r="EJ64" s="947"/>
      <c r="EK64" s="947"/>
      <c r="EL64" s="947"/>
      <c r="EW64" s="841"/>
      <c r="EX64" s="938">
        <f t="shared" si="65"/>
        <v>1061030.7163394999</v>
      </c>
      <c r="EY64" s="942">
        <f t="shared" si="66"/>
        <v>0.15</v>
      </c>
      <c r="EZ64" s="938">
        <f t="shared" si="67"/>
        <v>159154.60745092499</v>
      </c>
      <c r="FA64" s="938">
        <f t="shared" si="68"/>
        <v>10000</v>
      </c>
      <c r="FB64" s="938">
        <f t="shared" si="69"/>
        <v>149154.60745092499</v>
      </c>
      <c r="FC64" s="813">
        <f t="shared" si="62"/>
        <v>33</v>
      </c>
      <c r="FD64" s="814">
        <f t="shared" si="41"/>
        <v>4519.8365894219696</v>
      </c>
      <c r="FE64" s="942">
        <f t="shared" si="42"/>
        <v>0.85</v>
      </c>
      <c r="FF64" s="938">
        <f t="shared" si="43"/>
        <v>901876.10888857488</v>
      </c>
      <c r="FG64" s="940">
        <f t="shared" si="44"/>
        <v>8106.317434754329</v>
      </c>
      <c r="FH64" s="940">
        <f t="shared" si="45"/>
        <v>10471.546344666263</v>
      </c>
      <c r="FI64" s="940">
        <f t="shared" si="46"/>
        <v>17858.227890900569</v>
      </c>
      <c r="FJ64" s="841"/>
      <c r="FK64" s="938">
        <f t="shared" si="70"/>
        <v>-3766.5304911849744</v>
      </c>
      <c r="FN64" s="957"/>
      <c r="FO64" s="957"/>
      <c r="FP64" s="957"/>
      <c r="FU64" s="957"/>
      <c r="FV64" s="957"/>
    </row>
    <row r="65" spans="1:178" s="717" customFormat="1" ht="14.5" hidden="1" x14ac:dyDescent="0.35">
      <c r="A65" s="822">
        <f t="shared" si="47"/>
        <v>54</v>
      </c>
      <c r="B65" s="822"/>
      <c r="C65" s="822" t="s">
        <v>378</v>
      </c>
      <c r="D65" s="822">
        <v>1</v>
      </c>
      <c r="E65" s="822" t="s">
        <v>374</v>
      </c>
      <c r="F65" s="823" t="s">
        <v>527</v>
      </c>
      <c r="G65" s="823" t="s">
        <v>375</v>
      </c>
      <c r="H65" s="823">
        <v>13.5</v>
      </c>
      <c r="I65" s="824">
        <v>52000</v>
      </c>
      <c r="J65" s="825">
        <f t="shared" si="7"/>
        <v>702000</v>
      </c>
      <c r="K65" s="825">
        <v>40000</v>
      </c>
      <c r="L65" s="825">
        <v>30000</v>
      </c>
      <c r="M65" s="825"/>
      <c r="N65" s="825">
        <f t="shared" si="8"/>
        <v>772000</v>
      </c>
      <c r="O65" s="825">
        <f t="shared" si="9"/>
        <v>19300</v>
      </c>
      <c r="P65" s="825">
        <f t="shared" si="10"/>
        <v>791300</v>
      </c>
      <c r="Q65" s="1088">
        <f t="shared" si="11"/>
        <v>1.2500000000000001E-2</v>
      </c>
      <c r="R65" s="825">
        <f t="shared" si="12"/>
        <v>9891.25</v>
      </c>
      <c r="S65" s="1089" t="s">
        <v>450</v>
      </c>
      <c r="T65" s="1089">
        <f t="shared" si="13"/>
        <v>801191.25</v>
      </c>
      <c r="U65" s="1089"/>
      <c r="V65" s="1089">
        <f t="shared" si="14"/>
        <v>30044.671875</v>
      </c>
      <c r="W65" s="1089">
        <f t="shared" si="15"/>
        <v>831235.921875</v>
      </c>
      <c r="X65" s="1089"/>
      <c r="Y65" s="1089">
        <f t="shared" si="16"/>
        <v>831235.921875</v>
      </c>
      <c r="Z65" s="1089"/>
      <c r="AA65" s="1089">
        <f t="shared" si="17"/>
        <v>831235.921875</v>
      </c>
      <c r="AB65" s="1089"/>
      <c r="AC65" s="1089">
        <f t="shared" si="18"/>
        <v>831235.921875</v>
      </c>
      <c r="AD65" s="1089"/>
      <c r="AE65" s="1089">
        <f t="shared" si="19"/>
        <v>831235.921875</v>
      </c>
      <c r="AF65" s="1089"/>
      <c r="AG65" s="1089">
        <f t="shared" si="20"/>
        <v>831235.921875</v>
      </c>
      <c r="AH65" s="1089"/>
      <c r="AI65" s="1089">
        <f t="shared" si="21"/>
        <v>831235.921875</v>
      </c>
      <c r="AJ65" s="1089"/>
      <c r="AK65" s="1089">
        <f t="shared" si="22"/>
        <v>831235.921875</v>
      </c>
      <c r="AL65" s="1089"/>
      <c r="AM65" s="1089">
        <f t="shared" si="23"/>
        <v>831235.921875</v>
      </c>
      <c r="AN65" s="1089"/>
      <c r="AO65" s="1089">
        <f t="shared" si="24"/>
        <v>831235.921875</v>
      </c>
      <c r="AP65" s="1089"/>
      <c r="AQ65" s="1000">
        <f t="shared" si="25"/>
        <v>831235.921875</v>
      </c>
      <c r="AR65" s="1089"/>
      <c r="AS65" s="1000">
        <f t="shared" si="26"/>
        <v>831235.921875</v>
      </c>
      <c r="AT65" s="825">
        <f t="shared" si="27"/>
        <v>831235.921875</v>
      </c>
      <c r="AU65" s="825">
        <f t="shared" si="28"/>
        <v>99748.310624999998</v>
      </c>
      <c r="AV65" s="825">
        <f t="shared" si="29"/>
        <v>83123.592187500006</v>
      </c>
      <c r="AW65" s="825">
        <f t="shared" si="57"/>
        <v>1014107.8246875</v>
      </c>
      <c r="AX65" s="826">
        <v>0.15</v>
      </c>
      <c r="AY65" s="825">
        <f t="shared" si="49"/>
        <v>152116.17370312501</v>
      </c>
      <c r="AZ65" s="825">
        <v>10000</v>
      </c>
      <c r="BA65" s="825">
        <f t="shared" si="50"/>
        <v>142116.17370312501</v>
      </c>
      <c r="BB65" s="825">
        <f>$BB$9</f>
        <v>31</v>
      </c>
      <c r="BC65" s="824">
        <f t="shared" si="51"/>
        <v>4584.3927001008069</v>
      </c>
      <c r="BD65" s="827">
        <f t="shared" si="31"/>
        <v>0.85</v>
      </c>
      <c r="BE65" s="825">
        <f t="shared" si="52"/>
        <v>861991.65098437504</v>
      </c>
      <c r="BF65" s="1090">
        <f t="shared" si="32"/>
        <v>7747.8246514351467</v>
      </c>
      <c r="BG65" s="1090">
        <f t="shared" si="33"/>
        <v>10008.453969494676</v>
      </c>
      <c r="BH65" s="1090">
        <f t="shared" si="34"/>
        <v>17068.467821265294</v>
      </c>
      <c r="BK65" s="818"/>
      <c r="BL65" s="913">
        <v>46082</v>
      </c>
      <c r="BM65" s="914">
        <f t="shared" si="35"/>
        <v>29</v>
      </c>
      <c r="BN65" s="909"/>
      <c r="BO65" s="913">
        <f t="shared" si="36"/>
        <v>46147</v>
      </c>
      <c r="BP65" s="914">
        <f>(YEAR(BO65)-YEAR($BM$10))*12+MONTH(BO65)-MONTH($BM$10)+$BP$9</f>
        <v>31</v>
      </c>
      <c r="BQ65" s="818"/>
      <c r="BR65" s="818"/>
      <c r="BS65" s="818"/>
      <c r="BT65" s="818"/>
      <c r="BU65" s="818"/>
      <c r="BV65" s="818"/>
      <c r="BW65" s="818"/>
      <c r="BX65" s="818"/>
      <c r="BY65" s="818"/>
      <c r="BZ65" s="818"/>
      <c r="CA65" s="969" t="s">
        <v>262</v>
      </c>
      <c r="CB65" s="812" t="s">
        <v>262</v>
      </c>
      <c r="CC65" s="832" t="b">
        <f t="shared" si="38"/>
        <v>1</v>
      </c>
      <c r="CD65" s="717" t="s">
        <v>262</v>
      </c>
      <c r="CE65" s="949" t="b">
        <f t="shared" si="39"/>
        <v>1</v>
      </c>
      <c r="CG65" s="842"/>
      <c r="CH65" s="878"/>
      <c r="ED65" s="947"/>
      <c r="EF65" s="947"/>
      <c r="EG65" s="947"/>
      <c r="EH65" s="947"/>
      <c r="EI65" s="947"/>
      <c r="EJ65" s="947"/>
      <c r="EK65" s="947"/>
      <c r="EL65" s="947"/>
      <c r="EW65" s="840"/>
      <c r="EX65" s="938">
        <f t="shared" si="65"/>
        <v>1014107.8246875</v>
      </c>
      <c r="EY65" s="942">
        <f t="shared" si="66"/>
        <v>0.15</v>
      </c>
      <c r="EZ65" s="938">
        <f t="shared" si="67"/>
        <v>152116.17370312501</v>
      </c>
      <c r="FA65" s="938">
        <f t="shared" si="68"/>
        <v>10000</v>
      </c>
      <c r="FB65" s="938">
        <f t="shared" si="69"/>
        <v>142116.17370312501</v>
      </c>
      <c r="FC65" s="813">
        <f>$FC$9</f>
        <v>48</v>
      </c>
      <c r="FD65" s="814">
        <f t="shared" si="41"/>
        <v>2960.7536188151043</v>
      </c>
      <c r="FE65" s="942">
        <f t="shared" si="42"/>
        <v>0.85</v>
      </c>
      <c r="FF65" s="938">
        <f t="shared" si="43"/>
        <v>861991.65098437504</v>
      </c>
      <c r="FG65" s="940">
        <f t="shared" si="44"/>
        <v>7747.8246514351467</v>
      </c>
      <c r="FH65" s="940">
        <f t="shared" si="45"/>
        <v>10008.453969494676</v>
      </c>
      <c r="FI65" s="940">
        <f t="shared" si="46"/>
        <v>17068.467821265294</v>
      </c>
      <c r="FJ65" s="840"/>
      <c r="FK65" s="938">
        <f t="shared" si="70"/>
        <v>-1623.6390812857026</v>
      </c>
      <c r="FN65" s="957"/>
      <c r="FO65" s="957"/>
      <c r="FP65" s="957"/>
      <c r="FU65" s="957"/>
      <c r="FV65" s="957"/>
    </row>
    <row r="66" spans="1:178" s="717" customFormat="1" ht="14.5" hidden="1" x14ac:dyDescent="0.35">
      <c r="A66" s="813">
        <f t="shared" si="47"/>
        <v>55</v>
      </c>
      <c r="B66" s="813"/>
      <c r="C66" s="813" t="s">
        <v>378</v>
      </c>
      <c r="D66" s="813">
        <f>D65+1</f>
        <v>2</v>
      </c>
      <c r="E66" s="813" t="s">
        <v>374</v>
      </c>
      <c r="F66" s="575" t="s">
        <v>528</v>
      </c>
      <c r="G66" s="575" t="s">
        <v>375</v>
      </c>
      <c r="H66" s="575">
        <v>13.5</v>
      </c>
      <c r="I66" s="814">
        <v>52000</v>
      </c>
      <c r="J66" s="815">
        <f t="shared" si="7"/>
        <v>702000</v>
      </c>
      <c r="K66" s="815">
        <v>40000</v>
      </c>
      <c r="L66" s="815">
        <v>30000</v>
      </c>
      <c r="M66" s="815"/>
      <c r="N66" s="815">
        <f t="shared" si="8"/>
        <v>772000</v>
      </c>
      <c r="O66" s="815">
        <f t="shared" si="9"/>
        <v>19300</v>
      </c>
      <c r="P66" s="815">
        <f t="shared" si="10"/>
        <v>791300</v>
      </c>
      <c r="Q66" s="948">
        <f t="shared" si="11"/>
        <v>1.2500000000000001E-2</v>
      </c>
      <c r="R66" s="815">
        <f t="shared" si="12"/>
        <v>9891.25</v>
      </c>
      <c r="S66" s="955" t="s">
        <v>450</v>
      </c>
      <c r="T66" s="955">
        <f t="shared" si="13"/>
        <v>801191.25</v>
      </c>
      <c r="U66" s="955"/>
      <c r="V66" s="955">
        <f t="shared" si="14"/>
        <v>30044.671875</v>
      </c>
      <c r="W66" s="955">
        <f t="shared" si="15"/>
        <v>831235.921875</v>
      </c>
      <c r="X66" s="955"/>
      <c r="Y66" s="955">
        <f t="shared" si="16"/>
        <v>831235.921875</v>
      </c>
      <c r="Z66" s="955"/>
      <c r="AA66" s="955">
        <f t="shared" si="17"/>
        <v>831235.921875</v>
      </c>
      <c r="AB66" s="955"/>
      <c r="AC66" s="955">
        <f t="shared" si="18"/>
        <v>831235.921875</v>
      </c>
      <c r="AD66" s="955"/>
      <c r="AE66" s="955">
        <f t="shared" si="19"/>
        <v>831235.921875</v>
      </c>
      <c r="AF66" s="955"/>
      <c r="AG66" s="955">
        <f t="shared" si="20"/>
        <v>831235.921875</v>
      </c>
      <c r="AH66" s="955"/>
      <c r="AI66" s="955">
        <f t="shared" si="21"/>
        <v>831235.921875</v>
      </c>
      <c r="AJ66" s="955"/>
      <c r="AK66" s="955">
        <f t="shared" si="22"/>
        <v>831235.921875</v>
      </c>
      <c r="AL66" s="955"/>
      <c r="AM66" s="955">
        <f t="shared" si="23"/>
        <v>831235.921875</v>
      </c>
      <c r="AN66" s="955"/>
      <c r="AO66" s="955">
        <f t="shared" si="24"/>
        <v>831235.921875</v>
      </c>
      <c r="AP66" s="955"/>
      <c r="AQ66" s="1000">
        <f t="shared" si="25"/>
        <v>831235.921875</v>
      </c>
      <c r="AR66" s="955"/>
      <c r="AS66" s="1000">
        <f t="shared" si="26"/>
        <v>831235.921875</v>
      </c>
      <c r="AT66" s="815">
        <f t="shared" si="27"/>
        <v>831235.921875</v>
      </c>
      <c r="AU66" s="815">
        <f t="shared" si="28"/>
        <v>99748.310624999998</v>
      </c>
      <c r="AV66" s="815">
        <f t="shared" si="29"/>
        <v>83123.592187500006</v>
      </c>
      <c r="AW66" s="815">
        <f t="shared" si="57"/>
        <v>1014107.8246875</v>
      </c>
      <c r="AX66" s="816">
        <v>0.15</v>
      </c>
      <c r="AY66" s="815">
        <f t="shared" si="49"/>
        <v>152116.17370312501</v>
      </c>
      <c r="AZ66" s="815">
        <v>10000</v>
      </c>
      <c r="BA66" s="815">
        <f t="shared" si="50"/>
        <v>142116.17370312501</v>
      </c>
      <c r="BB66" s="825">
        <f t="shared" ref="BB66:BB113" si="71">$BB$9</f>
        <v>31</v>
      </c>
      <c r="BC66" s="814">
        <f t="shared" si="51"/>
        <v>4584.3927001008069</v>
      </c>
      <c r="BD66" s="817">
        <f t="shared" si="31"/>
        <v>0.85</v>
      </c>
      <c r="BE66" s="815">
        <f t="shared" si="52"/>
        <v>861991.65098437504</v>
      </c>
      <c r="BF66" s="833">
        <f t="shared" si="32"/>
        <v>7747.8246514351467</v>
      </c>
      <c r="BG66" s="833">
        <f t="shared" si="33"/>
        <v>10008.453969494676</v>
      </c>
      <c r="BH66" s="833">
        <f t="shared" si="34"/>
        <v>17068.467821265294</v>
      </c>
      <c r="BK66" s="818"/>
      <c r="BL66" s="907">
        <f>$BL$65</f>
        <v>46082</v>
      </c>
      <c r="BM66" s="908">
        <f t="shared" si="35"/>
        <v>29</v>
      </c>
      <c r="BN66" s="909"/>
      <c r="BO66" s="907">
        <f t="shared" si="36"/>
        <v>46147</v>
      </c>
      <c r="BP66" s="914">
        <f t="shared" ref="BP66:BP113" si="72">(YEAR(BO66)-YEAR($BM$10))*12+MONTH(BO66)-MONTH($BM$10)+$BP$9</f>
        <v>31</v>
      </c>
      <c r="BQ66" s="818"/>
      <c r="BR66" s="818"/>
      <c r="BS66" s="818"/>
      <c r="BT66" s="818"/>
      <c r="BU66" s="818"/>
      <c r="BV66" s="818"/>
      <c r="BW66" s="818"/>
      <c r="BX66" s="818"/>
      <c r="BY66" s="818"/>
      <c r="BZ66" s="818"/>
      <c r="CA66" s="969" t="s">
        <v>262</v>
      </c>
      <c r="CB66" s="812" t="s">
        <v>262</v>
      </c>
      <c r="CC66" s="832" t="b">
        <f t="shared" si="38"/>
        <v>1</v>
      </c>
      <c r="CD66" s="717" t="s">
        <v>262</v>
      </c>
      <c r="CE66" s="949" t="b">
        <f t="shared" si="39"/>
        <v>1</v>
      </c>
      <c r="CG66" s="842"/>
      <c r="CH66" s="878"/>
      <c r="ED66" s="947"/>
      <c r="EF66" s="947"/>
      <c r="EG66" s="947"/>
      <c r="EH66" s="947"/>
      <c r="EI66" s="947"/>
      <c r="EJ66" s="947"/>
      <c r="EK66" s="947"/>
      <c r="EL66" s="947"/>
      <c r="EW66" s="840"/>
      <c r="EX66" s="938">
        <f t="shared" si="65"/>
        <v>1014107.8246875</v>
      </c>
      <c r="EY66" s="942">
        <f t="shared" si="66"/>
        <v>0.15</v>
      </c>
      <c r="EZ66" s="938">
        <f t="shared" si="67"/>
        <v>152116.17370312501</v>
      </c>
      <c r="FA66" s="938">
        <f t="shared" si="68"/>
        <v>10000</v>
      </c>
      <c r="FB66" s="938">
        <f t="shared" si="69"/>
        <v>142116.17370312501</v>
      </c>
      <c r="FC66" s="813">
        <f t="shared" ref="FC66:FC113" si="73">$FC$9</f>
        <v>48</v>
      </c>
      <c r="FD66" s="814">
        <f t="shared" si="41"/>
        <v>2960.7536188151043</v>
      </c>
      <c r="FE66" s="942">
        <f t="shared" si="42"/>
        <v>0.85</v>
      </c>
      <c r="FF66" s="938">
        <f t="shared" si="43"/>
        <v>861991.65098437504</v>
      </c>
      <c r="FG66" s="940">
        <f t="shared" si="44"/>
        <v>7747.8246514351467</v>
      </c>
      <c r="FH66" s="940">
        <f t="shared" si="45"/>
        <v>10008.453969494676</v>
      </c>
      <c r="FI66" s="940">
        <f t="shared" si="46"/>
        <v>17068.467821265294</v>
      </c>
      <c r="FJ66" s="840"/>
      <c r="FK66" s="938">
        <f t="shared" si="70"/>
        <v>-1623.6390812857026</v>
      </c>
      <c r="FN66" s="957"/>
      <c r="FO66" s="957"/>
      <c r="FP66" s="957"/>
      <c r="FU66" s="957"/>
      <c r="FV66" s="957"/>
    </row>
    <row r="67" spans="1:178" s="717" customFormat="1" ht="14.5" hidden="1" x14ac:dyDescent="0.35">
      <c r="A67" s="1052">
        <f t="shared" si="47"/>
        <v>56</v>
      </c>
      <c r="B67" s="813"/>
      <c r="C67" s="1052" t="s">
        <v>378</v>
      </c>
      <c r="D67" s="813">
        <f t="shared" ref="D67:D113" si="74">D66+1</f>
        <v>3</v>
      </c>
      <c r="E67" s="1052" t="s">
        <v>374</v>
      </c>
      <c r="F67" s="1053" t="s">
        <v>529</v>
      </c>
      <c r="G67" s="1053" t="s">
        <v>375</v>
      </c>
      <c r="H67" s="1053">
        <v>13.5</v>
      </c>
      <c r="I67" s="1054">
        <v>52000</v>
      </c>
      <c r="J67" s="950">
        <f t="shared" si="7"/>
        <v>702000</v>
      </c>
      <c r="K67" s="950">
        <v>40000</v>
      </c>
      <c r="L67" s="950">
        <v>30000</v>
      </c>
      <c r="M67" s="950"/>
      <c r="N67" s="950">
        <f t="shared" si="8"/>
        <v>772000</v>
      </c>
      <c r="O67" s="950">
        <f t="shared" si="9"/>
        <v>19300</v>
      </c>
      <c r="P67" s="950">
        <f t="shared" si="10"/>
        <v>791300</v>
      </c>
      <c r="Q67" s="1056">
        <f t="shared" si="11"/>
        <v>1.2500000000000001E-2</v>
      </c>
      <c r="R67" s="950">
        <f t="shared" si="12"/>
        <v>9891.25</v>
      </c>
      <c r="S67" s="1057" t="s">
        <v>450</v>
      </c>
      <c r="T67" s="1057">
        <f t="shared" si="13"/>
        <v>801191.25</v>
      </c>
      <c r="U67" s="1057"/>
      <c r="V67" s="1057">
        <f t="shared" si="14"/>
        <v>30044.671875</v>
      </c>
      <c r="W67" s="1057">
        <f t="shared" si="15"/>
        <v>831235.921875</v>
      </c>
      <c r="X67" s="1057"/>
      <c r="Y67" s="1057">
        <f t="shared" si="16"/>
        <v>831235.921875</v>
      </c>
      <c r="Z67" s="1057"/>
      <c r="AA67" s="1057">
        <f t="shared" si="17"/>
        <v>831235.921875</v>
      </c>
      <c r="AB67" s="1057"/>
      <c r="AC67" s="1057">
        <f t="shared" si="18"/>
        <v>831235.921875</v>
      </c>
      <c r="AD67" s="1057"/>
      <c r="AE67" s="1057">
        <f t="shared" si="19"/>
        <v>831235.921875</v>
      </c>
      <c r="AF67" s="1057"/>
      <c r="AG67" s="1057">
        <f t="shared" si="20"/>
        <v>831235.921875</v>
      </c>
      <c r="AH67" s="1057"/>
      <c r="AI67" s="1057">
        <f t="shared" si="21"/>
        <v>831235.921875</v>
      </c>
      <c r="AJ67" s="1057"/>
      <c r="AK67" s="1057">
        <f t="shared" si="22"/>
        <v>831235.921875</v>
      </c>
      <c r="AL67" s="1057"/>
      <c r="AM67" s="1057">
        <f t="shared" si="23"/>
        <v>831235.921875</v>
      </c>
      <c r="AN67" s="1057"/>
      <c r="AO67" s="1057">
        <f t="shared" si="24"/>
        <v>831235.921875</v>
      </c>
      <c r="AP67" s="1057"/>
      <c r="AQ67" s="1000">
        <f t="shared" si="25"/>
        <v>831235.921875</v>
      </c>
      <c r="AR67" s="1057"/>
      <c r="AS67" s="1000">
        <f t="shared" si="26"/>
        <v>831235.921875</v>
      </c>
      <c r="AT67" s="950">
        <f t="shared" si="27"/>
        <v>831235.921875</v>
      </c>
      <c r="AU67" s="950">
        <f t="shared" si="28"/>
        <v>99748.310624999998</v>
      </c>
      <c r="AV67" s="950">
        <f t="shared" si="29"/>
        <v>83123.592187500006</v>
      </c>
      <c r="AW67" s="950">
        <f t="shared" si="57"/>
        <v>1014107.8246875</v>
      </c>
      <c r="AX67" s="1058">
        <v>0.15</v>
      </c>
      <c r="AY67" s="950">
        <f t="shared" si="49"/>
        <v>152116.17370312501</v>
      </c>
      <c r="AZ67" s="950">
        <v>10000</v>
      </c>
      <c r="BA67" s="950">
        <f t="shared" si="50"/>
        <v>142116.17370312501</v>
      </c>
      <c r="BB67" s="1055">
        <f t="shared" si="71"/>
        <v>31</v>
      </c>
      <c r="BC67" s="1054">
        <f t="shared" si="51"/>
        <v>4584.3927001008069</v>
      </c>
      <c r="BD67" s="1059">
        <f t="shared" si="31"/>
        <v>0.85</v>
      </c>
      <c r="BE67" s="950">
        <f t="shared" si="52"/>
        <v>861991.65098437504</v>
      </c>
      <c r="BF67" s="1060">
        <f t="shared" si="32"/>
        <v>7747.8246514351467</v>
      </c>
      <c r="BG67" s="1060">
        <f t="shared" si="33"/>
        <v>10008.453969494676</v>
      </c>
      <c r="BH67" s="1060">
        <f t="shared" si="34"/>
        <v>17068.467821265294</v>
      </c>
      <c r="BK67" s="818"/>
      <c r="BL67" s="907">
        <f t="shared" ref="BL67:BL113" si="75">$BL$65</f>
        <v>46082</v>
      </c>
      <c r="BM67" s="908">
        <f t="shared" si="35"/>
        <v>29</v>
      </c>
      <c r="BN67" s="909"/>
      <c r="BO67" s="907">
        <f t="shared" si="36"/>
        <v>46147</v>
      </c>
      <c r="BP67" s="914">
        <f t="shared" si="72"/>
        <v>31</v>
      </c>
      <c r="BQ67" s="818"/>
      <c r="BR67" s="818"/>
      <c r="BS67" s="818"/>
      <c r="BT67" s="818"/>
      <c r="BU67" s="818"/>
      <c r="BV67" s="818"/>
      <c r="BW67" s="818"/>
      <c r="BX67" s="818"/>
      <c r="BY67" s="818"/>
      <c r="BZ67" s="818"/>
      <c r="CA67" s="969" t="s">
        <v>262</v>
      </c>
      <c r="CB67" s="812" t="s">
        <v>262</v>
      </c>
      <c r="CC67" s="832" t="b">
        <f t="shared" si="38"/>
        <v>1</v>
      </c>
      <c r="CD67" s="717" t="s">
        <v>262</v>
      </c>
      <c r="CE67" s="949" t="b">
        <f t="shared" si="39"/>
        <v>1</v>
      </c>
      <c r="CG67" s="842"/>
      <c r="CH67" s="878"/>
      <c r="ED67" s="947"/>
      <c r="EF67" s="947"/>
      <c r="EG67" s="947"/>
      <c r="EH67" s="947"/>
      <c r="EI67" s="947"/>
      <c r="EJ67" s="947"/>
      <c r="EK67" s="947"/>
      <c r="EL67" s="947"/>
      <c r="EW67" s="840"/>
      <c r="EX67" s="938">
        <f t="shared" si="65"/>
        <v>1014107.8246875</v>
      </c>
      <c r="EY67" s="942">
        <f t="shared" si="66"/>
        <v>0.15</v>
      </c>
      <c r="EZ67" s="938">
        <f t="shared" si="67"/>
        <v>152116.17370312501</v>
      </c>
      <c r="FA67" s="938">
        <f t="shared" si="68"/>
        <v>10000</v>
      </c>
      <c r="FB67" s="938">
        <f t="shared" si="69"/>
        <v>142116.17370312501</v>
      </c>
      <c r="FC67" s="813">
        <f t="shared" si="73"/>
        <v>48</v>
      </c>
      <c r="FD67" s="814">
        <f t="shared" si="41"/>
        <v>2960.7536188151043</v>
      </c>
      <c r="FE67" s="942">
        <f t="shared" si="42"/>
        <v>0.85</v>
      </c>
      <c r="FF67" s="938">
        <f t="shared" si="43"/>
        <v>861991.65098437504</v>
      </c>
      <c r="FG67" s="940">
        <f t="shared" si="44"/>
        <v>7747.8246514351467</v>
      </c>
      <c r="FH67" s="940">
        <f t="shared" si="45"/>
        <v>10008.453969494676</v>
      </c>
      <c r="FI67" s="940">
        <f t="shared" si="46"/>
        <v>17068.467821265294</v>
      </c>
      <c r="FJ67" s="840"/>
      <c r="FK67" s="938">
        <f t="shared" si="70"/>
        <v>-1623.6390812857026</v>
      </c>
      <c r="FN67" s="957"/>
      <c r="FO67" s="957"/>
      <c r="FP67" s="957"/>
      <c r="FU67" s="957"/>
      <c r="FV67" s="957"/>
    </row>
    <row r="68" spans="1:178" s="717" customFormat="1" ht="14.5" x14ac:dyDescent="0.35">
      <c r="A68" s="813">
        <f t="shared" si="47"/>
        <v>57</v>
      </c>
      <c r="B68" s="813"/>
      <c r="C68" s="813" t="s">
        <v>378</v>
      </c>
      <c r="D68" s="813">
        <f t="shared" si="74"/>
        <v>4</v>
      </c>
      <c r="E68" s="813" t="s">
        <v>374</v>
      </c>
      <c r="F68" s="575" t="s">
        <v>530</v>
      </c>
      <c r="G68" s="575" t="s">
        <v>375</v>
      </c>
      <c r="H68" s="575">
        <v>13.5</v>
      </c>
      <c r="I68" s="814">
        <v>52000</v>
      </c>
      <c r="J68" s="815">
        <f t="shared" si="7"/>
        <v>702000</v>
      </c>
      <c r="K68" s="815">
        <v>40000</v>
      </c>
      <c r="L68" s="815">
        <v>30000</v>
      </c>
      <c r="M68" s="815"/>
      <c r="N68" s="815">
        <f t="shared" si="8"/>
        <v>772000</v>
      </c>
      <c r="O68" s="815">
        <f t="shared" si="9"/>
        <v>19300</v>
      </c>
      <c r="P68" s="815">
        <f t="shared" si="10"/>
        <v>791300</v>
      </c>
      <c r="Q68" s="948">
        <f t="shared" si="11"/>
        <v>1.2500000000000001E-2</v>
      </c>
      <c r="R68" s="815">
        <f t="shared" si="12"/>
        <v>9891.25</v>
      </c>
      <c r="S68" s="955">
        <v>0</v>
      </c>
      <c r="T68" s="955">
        <f t="shared" si="13"/>
        <v>801191.25</v>
      </c>
      <c r="U68" s="955"/>
      <c r="V68" s="955">
        <f t="shared" si="14"/>
        <v>30044.671875</v>
      </c>
      <c r="W68" s="955">
        <f t="shared" si="15"/>
        <v>831235.921875</v>
      </c>
      <c r="X68" s="955"/>
      <c r="Y68" s="955">
        <f t="shared" si="16"/>
        <v>831235.921875</v>
      </c>
      <c r="Z68" s="955"/>
      <c r="AA68" s="955">
        <f t="shared" si="17"/>
        <v>831235.921875</v>
      </c>
      <c r="AB68" s="955"/>
      <c r="AC68" s="955">
        <f t="shared" si="18"/>
        <v>831235.921875</v>
      </c>
      <c r="AD68" s="955"/>
      <c r="AE68" s="955">
        <f t="shared" si="19"/>
        <v>831235.921875</v>
      </c>
      <c r="AF68" s="955"/>
      <c r="AG68" s="955">
        <f t="shared" si="20"/>
        <v>831235.921875</v>
      </c>
      <c r="AH68" s="955"/>
      <c r="AI68" s="955">
        <f t="shared" si="21"/>
        <v>831235.921875</v>
      </c>
      <c r="AJ68" s="955"/>
      <c r="AK68" s="955">
        <f t="shared" si="22"/>
        <v>831235.921875</v>
      </c>
      <c r="AL68" s="955"/>
      <c r="AM68" s="955">
        <f t="shared" si="23"/>
        <v>831235.921875</v>
      </c>
      <c r="AN68" s="955">
        <f>$AN$10/10</f>
        <v>1738.8761600000003</v>
      </c>
      <c r="AO68" s="1000">
        <f t="shared" si="24"/>
        <v>832974.79803499999</v>
      </c>
      <c r="AP68" s="1000"/>
      <c r="AQ68" s="1000">
        <f t="shared" si="25"/>
        <v>832974.79803499999</v>
      </c>
      <c r="AR68" s="1000"/>
      <c r="AS68" s="1000">
        <f t="shared" si="26"/>
        <v>832974.79803499999</v>
      </c>
      <c r="AT68" s="815">
        <f t="shared" si="27"/>
        <v>832974.79803499999</v>
      </c>
      <c r="AU68" s="815">
        <f t="shared" si="28"/>
        <v>99956.975764199989</v>
      </c>
      <c r="AV68" s="815">
        <f t="shared" si="29"/>
        <v>83297.479803499999</v>
      </c>
      <c r="AW68" s="815">
        <f t="shared" si="57"/>
        <v>1016229.2536027</v>
      </c>
      <c r="AX68" s="816">
        <v>0.15</v>
      </c>
      <c r="AY68" s="815">
        <f t="shared" si="49"/>
        <v>152434.388040405</v>
      </c>
      <c r="AZ68" s="815">
        <v>10000</v>
      </c>
      <c r="BA68" s="815">
        <f t="shared" si="50"/>
        <v>142434.388040405</v>
      </c>
      <c r="BB68" s="815">
        <f t="shared" si="71"/>
        <v>31</v>
      </c>
      <c r="BC68" s="814">
        <f t="shared" si="51"/>
        <v>4594.6576787227423</v>
      </c>
      <c r="BD68" s="817">
        <f t="shared" si="31"/>
        <v>0.85</v>
      </c>
      <c r="BE68" s="815">
        <f t="shared" si="52"/>
        <v>863794.86556229496</v>
      </c>
      <c r="BF68" s="833">
        <f t="shared" si="32"/>
        <v>7764.0324538456225</v>
      </c>
      <c r="BG68" s="833">
        <f t="shared" si="33"/>
        <v>10029.390819729388</v>
      </c>
      <c r="BH68" s="833">
        <f t="shared" si="34"/>
        <v>17104.173631133537</v>
      </c>
      <c r="BK68" s="818"/>
      <c r="BL68" s="907">
        <f t="shared" si="75"/>
        <v>46082</v>
      </c>
      <c r="BM68" s="908">
        <f t="shared" si="35"/>
        <v>29</v>
      </c>
      <c r="BN68" s="909"/>
      <c r="BO68" s="907">
        <f t="shared" si="36"/>
        <v>46147</v>
      </c>
      <c r="BP68" s="914">
        <f t="shared" si="72"/>
        <v>31</v>
      </c>
      <c r="BQ68" s="818"/>
      <c r="BR68" s="818"/>
      <c r="BS68" s="818"/>
      <c r="BT68" s="818"/>
      <c r="BU68" s="818"/>
      <c r="BV68" s="818"/>
      <c r="BW68" s="818"/>
      <c r="BX68" s="818"/>
      <c r="BY68" s="818"/>
      <c r="BZ68" s="818"/>
      <c r="CA68" s="969" t="s">
        <v>263</v>
      </c>
      <c r="CB68" s="812" t="s">
        <v>263</v>
      </c>
      <c r="CC68" s="832" t="b">
        <f t="shared" si="38"/>
        <v>1</v>
      </c>
      <c r="CD68" s="717" t="s">
        <v>263</v>
      </c>
      <c r="CE68" s="949" t="b">
        <f t="shared" si="39"/>
        <v>1</v>
      </c>
      <c r="CG68" s="842"/>
      <c r="CH68" s="878"/>
      <c r="ED68" s="947"/>
      <c r="EF68" s="947"/>
      <c r="EG68" s="947"/>
      <c r="EH68" s="947"/>
      <c r="EI68" s="947"/>
      <c r="EJ68" s="947"/>
      <c r="EK68" s="947"/>
      <c r="EL68" s="947"/>
      <c r="EW68" s="840"/>
      <c r="EX68" s="938">
        <f t="shared" si="65"/>
        <v>1016229.2536027</v>
      </c>
      <c r="EY68" s="942">
        <f t="shared" si="66"/>
        <v>0.15</v>
      </c>
      <c r="EZ68" s="938">
        <f t="shared" si="67"/>
        <v>152434.388040405</v>
      </c>
      <c r="FA68" s="938">
        <f t="shared" si="68"/>
        <v>10000</v>
      </c>
      <c r="FB68" s="938">
        <f t="shared" si="69"/>
        <v>142434.388040405</v>
      </c>
      <c r="FC68" s="813">
        <f t="shared" si="73"/>
        <v>48</v>
      </c>
      <c r="FD68" s="814">
        <f t="shared" si="41"/>
        <v>2967.3830841751042</v>
      </c>
      <c r="FE68" s="942">
        <f t="shared" si="42"/>
        <v>0.85</v>
      </c>
      <c r="FF68" s="938">
        <f t="shared" si="43"/>
        <v>863794.86556229496</v>
      </c>
      <c r="FG68" s="940">
        <f t="shared" si="44"/>
        <v>7764.0324538456225</v>
      </c>
      <c r="FH68" s="940">
        <f t="shared" si="45"/>
        <v>10029.390819729388</v>
      </c>
      <c r="FI68" s="940">
        <f t="shared" si="46"/>
        <v>17104.173631133537</v>
      </c>
      <c r="FJ68" s="840"/>
      <c r="FK68" s="938">
        <f t="shared" si="70"/>
        <v>-1627.2745945476381</v>
      </c>
      <c r="FN68" s="957"/>
      <c r="FO68" s="957"/>
      <c r="FP68" s="957"/>
      <c r="FU68" s="957"/>
      <c r="FV68" s="957"/>
    </row>
    <row r="69" spans="1:178" s="717" customFormat="1" ht="14.5" x14ac:dyDescent="0.35">
      <c r="A69" s="813">
        <f t="shared" si="47"/>
        <v>58</v>
      </c>
      <c r="B69" s="813"/>
      <c r="C69" s="813" t="s">
        <v>378</v>
      </c>
      <c r="D69" s="813">
        <f t="shared" si="74"/>
        <v>5</v>
      </c>
      <c r="E69" s="813" t="s">
        <v>374</v>
      </c>
      <c r="F69" s="575" t="s">
        <v>531</v>
      </c>
      <c r="G69" s="575" t="s">
        <v>375</v>
      </c>
      <c r="H69" s="575">
        <v>13.5</v>
      </c>
      <c r="I69" s="814">
        <v>52000</v>
      </c>
      <c r="J69" s="815">
        <f t="shared" si="7"/>
        <v>702000</v>
      </c>
      <c r="K69" s="815">
        <v>40000</v>
      </c>
      <c r="L69" s="815">
        <v>30000</v>
      </c>
      <c r="M69" s="815"/>
      <c r="N69" s="815">
        <f t="shared" si="8"/>
        <v>772000</v>
      </c>
      <c r="O69" s="815">
        <f t="shared" si="9"/>
        <v>19300</v>
      </c>
      <c r="P69" s="815">
        <f t="shared" si="10"/>
        <v>791300</v>
      </c>
      <c r="Q69" s="948">
        <f t="shared" si="11"/>
        <v>1.2500000000000001E-2</v>
      </c>
      <c r="R69" s="815">
        <f t="shared" si="12"/>
        <v>9891.25</v>
      </c>
      <c r="S69" s="955" t="s">
        <v>450</v>
      </c>
      <c r="T69" s="955">
        <f t="shared" si="13"/>
        <v>801191.25</v>
      </c>
      <c r="U69" s="955"/>
      <c r="V69" s="955">
        <f t="shared" si="14"/>
        <v>30044.671875</v>
      </c>
      <c r="W69" s="955">
        <f t="shared" si="15"/>
        <v>831235.921875</v>
      </c>
      <c r="X69" s="955"/>
      <c r="Y69" s="955">
        <f t="shared" si="16"/>
        <v>831235.921875</v>
      </c>
      <c r="Z69" s="955"/>
      <c r="AA69" s="955">
        <f t="shared" si="17"/>
        <v>831235.921875</v>
      </c>
      <c r="AB69" s="955"/>
      <c r="AC69" s="955">
        <f t="shared" si="18"/>
        <v>831235.921875</v>
      </c>
      <c r="AD69" s="955"/>
      <c r="AE69" s="955">
        <f t="shared" si="19"/>
        <v>831235.921875</v>
      </c>
      <c r="AF69" s="955"/>
      <c r="AG69" s="955">
        <f t="shared" si="20"/>
        <v>831235.921875</v>
      </c>
      <c r="AH69" s="955"/>
      <c r="AI69" s="955">
        <f t="shared" si="21"/>
        <v>831235.921875</v>
      </c>
      <c r="AJ69" s="955"/>
      <c r="AK69" s="955">
        <f t="shared" si="22"/>
        <v>831235.921875</v>
      </c>
      <c r="AL69" s="955"/>
      <c r="AM69" s="955">
        <f t="shared" si="23"/>
        <v>831235.921875</v>
      </c>
      <c r="AN69" s="955">
        <f t="shared" ref="AN69" si="76">$AN$10/10</f>
        <v>1738.8761600000003</v>
      </c>
      <c r="AO69" s="1000">
        <f t="shared" si="24"/>
        <v>832974.79803499999</v>
      </c>
      <c r="AP69" s="1000"/>
      <c r="AQ69" s="1000">
        <f t="shared" si="25"/>
        <v>832974.79803499999</v>
      </c>
      <c r="AR69" s="1000"/>
      <c r="AS69" s="1000">
        <f t="shared" si="26"/>
        <v>832974.79803499999</v>
      </c>
      <c r="AT69" s="815">
        <f t="shared" si="27"/>
        <v>832974.79803499999</v>
      </c>
      <c r="AU69" s="815">
        <f t="shared" si="28"/>
        <v>99956.975764199989</v>
      </c>
      <c r="AV69" s="815">
        <f t="shared" si="29"/>
        <v>83297.479803499999</v>
      </c>
      <c r="AW69" s="815">
        <f t="shared" si="57"/>
        <v>1016229.2536027</v>
      </c>
      <c r="AX69" s="816">
        <v>0.15</v>
      </c>
      <c r="AY69" s="815">
        <f t="shared" si="49"/>
        <v>152434.388040405</v>
      </c>
      <c r="AZ69" s="815">
        <v>10000</v>
      </c>
      <c r="BA69" s="815">
        <f t="shared" si="50"/>
        <v>142434.388040405</v>
      </c>
      <c r="BB69" s="815">
        <f t="shared" si="71"/>
        <v>31</v>
      </c>
      <c r="BC69" s="814">
        <f t="shared" si="51"/>
        <v>4594.6576787227423</v>
      </c>
      <c r="BD69" s="817">
        <f t="shared" si="31"/>
        <v>0.85</v>
      </c>
      <c r="BE69" s="815">
        <f t="shared" si="52"/>
        <v>863794.86556229496</v>
      </c>
      <c r="BF69" s="833">
        <f t="shared" si="32"/>
        <v>7764.0324538456225</v>
      </c>
      <c r="BG69" s="833">
        <f t="shared" si="33"/>
        <v>10029.390819729388</v>
      </c>
      <c r="BH69" s="833">
        <f t="shared" si="34"/>
        <v>17104.173631133537</v>
      </c>
      <c r="BK69" s="818"/>
      <c r="BL69" s="907">
        <f t="shared" si="75"/>
        <v>46082</v>
      </c>
      <c r="BM69" s="908">
        <f t="shared" si="35"/>
        <v>29</v>
      </c>
      <c r="BN69" s="909"/>
      <c r="BO69" s="907">
        <f t="shared" si="36"/>
        <v>46147</v>
      </c>
      <c r="BP69" s="914">
        <f t="shared" si="72"/>
        <v>31</v>
      </c>
      <c r="BQ69" s="818"/>
      <c r="BR69" s="818"/>
      <c r="BS69" s="818"/>
      <c r="BT69" s="818"/>
      <c r="BU69" s="818"/>
      <c r="BV69" s="818"/>
      <c r="BW69" s="818"/>
      <c r="BX69" s="818"/>
      <c r="BY69" s="818"/>
      <c r="BZ69" s="818"/>
      <c r="CA69" s="969" t="s">
        <v>263</v>
      </c>
      <c r="CB69" s="812" t="s">
        <v>263</v>
      </c>
      <c r="CC69" s="832" t="b">
        <f t="shared" si="38"/>
        <v>1</v>
      </c>
      <c r="CD69" s="717" t="s">
        <v>263</v>
      </c>
      <c r="CE69" s="949" t="b">
        <f t="shared" si="39"/>
        <v>1</v>
      </c>
      <c r="CG69" s="842"/>
      <c r="CH69" s="878"/>
      <c r="ED69" s="947"/>
      <c r="EF69" s="947"/>
      <c r="EG69" s="947"/>
      <c r="EH69" s="947"/>
      <c r="EI69" s="947"/>
      <c r="EJ69" s="947"/>
      <c r="EK69" s="947"/>
      <c r="EL69" s="947"/>
      <c r="EW69" s="840"/>
      <c r="EX69" s="938">
        <f t="shared" si="65"/>
        <v>1016229.2536027</v>
      </c>
      <c r="EY69" s="942">
        <f t="shared" si="66"/>
        <v>0.15</v>
      </c>
      <c r="EZ69" s="938">
        <f t="shared" si="67"/>
        <v>152434.388040405</v>
      </c>
      <c r="FA69" s="938">
        <f t="shared" si="68"/>
        <v>10000</v>
      </c>
      <c r="FB69" s="938">
        <f t="shared" si="69"/>
        <v>142434.388040405</v>
      </c>
      <c r="FC69" s="813">
        <f t="shared" si="73"/>
        <v>48</v>
      </c>
      <c r="FD69" s="814">
        <f t="shared" si="41"/>
        <v>2967.3830841751042</v>
      </c>
      <c r="FE69" s="942">
        <f t="shared" si="42"/>
        <v>0.85</v>
      </c>
      <c r="FF69" s="938">
        <f t="shared" si="43"/>
        <v>863794.86556229496</v>
      </c>
      <c r="FG69" s="940">
        <f t="shared" si="44"/>
        <v>7764.0324538456225</v>
      </c>
      <c r="FH69" s="940">
        <f t="shared" si="45"/>
        <v>10029.390819729388</v>
      </c>
      <c r="FI69" s="940">
        <f t="shared" si="46"/>
        <v>17104.173631133537</v>
      </c>
      <c r="FJ69" s="840"/>
      <c r="FK69" s="938">
        <f t="shared" si="70"/>
        <v>-1627.2745945476381</v>
      </c>
      <c r="FN69" s="957"/>
      <c r="FO69" s="957"/>
      <c r="FP69" s="957"/>
      <c r="FU69" s="957"/>
      <c r="FV69" s="957"/>
    </row>
    <row r="70" spans="1:178" s="717" customFormat="1" ht="14.5" hidden="1" x14ac:dyDescent="0.35">
      <c r="A70" s="822">
        <f t="shared" si="47"/>
        <v>59</v>
      </c>
      <c r="B70" s="813"/>
      <c r="C70" s="822" t="s">
        <v>378</v>
      </c>
      <c r="D70" s="813">
        <f t="shared" si="74"/>
        <v>6</v>
      </c>
      <c r="E70" s="822" t="s">
        <v>374</v>
      </c>
      <c r="F70" s="823" t="s">
        <v>532</v>
      </c>
      <c r="G70" s="823" t="s">
        <v>375</v>
      </c>
      <c r="H70" s="823">
        <v>13.5</v>
      </c>
      <c r="I70" s="824">
        <v>52000</v>
      </c>
      <c r="J70" s="825">
        <f t="shared" si="7"/>
        <v>702000</v>
      </c>
      <c r="K70" s="825">
        <v>40000</v>
      </c>
      <c r="L70" s="825">
        <v>30000</v>
      </c>
      <c r="M70" s="825"/>
      <c r="N70" s="825">
        <f t="shared" si="8"/>
        <v>772000</v>
      </c>
      <c r="O70" s="825">
        <f t="shared" si="9"/>
        <v>19300</v>
      </c>
      <c r="P70" s="825">
        <f t="shared" si="10"/>
        <v>791300</v>
      </c>
      <c r="Q70" s="1088">
        <f t="shared" si="11"/>
        <v>1.2500000000000001E-2</v>
      </c>
      <c r="R70" s="825">
        <f t="shared" si="12"/>
        <v>9891.25</v>
      </c>
      <c r="S70" s="1089" t="s">
        <v>450</v>
      </c>
      <c r="T70" s="1089">
        <f t="shared" si="13"/>
        <v>801191.25</v>
      </c>
      <c r="U70" s="1089"/>
      <c r="V70" s="1089">
        <f t="shared" si="14"/>
        <v>30044.671875</v>
      </c>
      <c r="W70" s="1089">
        <f t="shared" si="15"/>
        <v>831235.921875</v>
      </c>
      <c r="X70" s="1089"/>
      <c r="Y70" s="1089">
        <f t="shared" si="16"/>
        <v>831235.921875</v>
      </c>
      <c r="Z70" s="1089"/>
      <c r="AA70" s="1089">
        <f t="shared" si="17"/>
        <v>831235.921875</v>
      </c>
      <c r="AB70" s="1089"/>
      <c r="AC70" s="1089">
        <f t="shared" si="18"/>
        <v>831235.921875</v>
      </c>
      <c r="AD70" s="1089"/>
      <c r="AE70" s="1089">
        <f t="shared" si="19"/>
        <v>831235.921875</v>
      </c>
      <c r="AF70" s="1089"/>
      <c r="AG70" s="1089">
        <f t="shared" si="20"/>
        <v>831235.921875</v>
      </c>
      <c r="AH70" s="1089"/>
      <c r="AI70" s="1089">
        <f t="shared" si="21"/>
        <v>831235.921875</v>
      </c>
      <c r="AJ70" s="1089"/>
      <c r="AK70" s="1089">
        <f t="shared" si="22"/>
        <v>831235.921875</v>
      </c>
      <c r="AL70" s="1089"/>
      <c r="AM70" s="1089">
        <f t="shared" si="23"/>
        <v>831235.921875</v>
      </c>
      <c r="AN70" s="1089"/>
      <c r="AO70" s="1089">
        <f t="shared" si="24"/>
        <v>831235.921875</v>
      </c>
      <c r="AP70" s="1089"/>
      <c r="AQ70" s="1000">
        <f t="shared" si="25"/>
        <v>831235.921875</v>
      </c>
      <c r="AR70" s="1089"/>
      <c r="AS70" s="1000">
        <f t="shared" si="26"/>
        <v>831235.921875</v>
      </c>
      <c r="AT70" s="825">
        <f t="shared" si="27"/>
        <v>831235.921875</v>
      </c>
      <c r="AU70" s="825">
        <f t="shared" si="28"/>
        <v>99748.310624999998</v>
      </c>
      <c r="AV70" s="825">
        <f t="shared" si="29"/>
        <v>83123.592187500006</v>
      </c>
      <c r="AW70" s="825">
        <f t="shared" si="57"/>
        <v>1014107.8246875</v>
      </c>
      <c r="AX70" s="826">
        <v>0.15</v>
      </c>
      <c r="AY70" s="825">
        <f t="shared" si="49"/>
        <v>152116.17370312501</v>
      </c>
      <c r="AZ70" s="825">
        <v>10000</v>
      </c>
      <c r="BA70" s="825">
        <f t="shared" si="50"/>
        <v>142116.17370312501</v>
      </c>
      <c r="BB70" s="825">
        <f t="shared" si="71"/>
        <v>31</v>
      </c>
      <c r="BC70" s="824">
        <f t="shared" si="51"/>
        <v>4584.3927001008069</v>
      </c>
      <c r="BD70" s="827">
        <f t="shared" si="31"/>
        <v>0.85</v>
      </c>
      <c r="BE70" s="825">
        <f t="shared" si="52"/>
        <v>861991.65098437504</v>
      </c>
      <c r="BF70" s="1090">
        <f t="shared" si="32"/>
        <v>7747.8246514351467</v>
      </c>
      <c r="BG70" s="1090">
        <f t="shared" si="33"/>
        <v>10008.453969494676</v>
      </c>
      <c r="BH70" s="1090">
        <f t="shared" si="34"/>
        <v>17068.467821265294</v>
      </c>
      <c r="BK70" s="818"/>
      <c r="BL70" s="907">
        <f t="shared" si="75"/>
        <v>46082</v>
      </c>
      <c r="BM70" s="908">
        <f t="shared" si="35"/>
        <v>29</v>
      </c>
      <c r="BN70" s="909"/>
      <c r="BO70" s="907">
        <f t="shared" si="36"/>
        <v>46147</v>
      </c>
      <c r="BP70" s="914">
        <f t="shared" si="72"/>
        <v>31</v>
      </c>
      <c r="BQ70" s="818"/>
      <c r="BR70" s="818"/>
      <c r="BS70" s="818"/>
      <c r="BT70" s="818"/>
      <c r="BU70" s="818"/>
      <c r="BV70" s="818"/>
      <c r="BW70" s="818"/>
      <c r="BX70" s="818"/>
      <c r="BY70" s="818"/>
      <c r="BZ70" s="818"/>
      <c r="CA70" s="969" t="s">
        <v>262</v>
      </c>
      <c r="CB70" s="812" t="s">
        <v>262</v>
      </c>
      <c r="CC70" s="832" t="b">
        <f t="shared" si="38"/>
        <v>1</v>
      </c>
      <c r="CD70" s="717" t="s">
        <v>262</v>
      </c>
      <c r="CE70" s="949" t="b">
        <f t="shared" si="39"/>
        <v>1</v>
      </c>
      <c r="CG70" s="842"/>
      <c r="CH70" s="878"/>
      <c r="ED70" s="947"/>
      <c r="EF70" s="947"/>
      <c r="EG70" s="947"/>
      <c r="EH70" s="947"/>
      <c r="EI70" s="947"/>
      <c r="EJ70" s="947"/>
      <c r="EK70" s="947"/>
      <c r="EL70" s="947"/>
      <c r="EW70" s="840"/>
      <c r="EX70" s="938">
        <f t="shared" si="65"/>
        <v>1014107.8246875</v>
      </c>
      <c r="EY70" s="942">
        <f t="shared" si="66"/>
        <v>0.15</v>
      </c>
      <c r="EZ70" s="938">
        <f t="shared" si="67"/>
        <v>152116.17370312501</v>
      </c>
      <c r="FA70" s="938">
        <f t="shared" si="68"/>
        <v>10000</v>
      </c>
      <c r="FB70" s="938">
        <f t="shared" si="69"/>
        <v>142116.17370312501</v>
      </c>
      <c r="FC70" s="813">
        <f t="shared" si="73"/>
        <v>48</v>
      </c>
      <c r="FD70" s="814">
        <f t="shared" si="41"/>
        <v>2960.7536188151043</v>
      </c>
      <c r="FE70" s="942">
        <f t="shared" si="42"/>
        <v>0.85</v>
      </c>
      <c r="FF70" s="938">
        <f t="shared" si="43"/>
        <v>861991.65098437504</v>
      </c>
      <c r="FG70" s="940">
        <f t="shared" si="44"/>
        <v>7747.8246514351467</v>
      </c>
      <c r="FH70" s="940">
        <f t="shared" si="45"/>
        <v>10008.453969494676</v>
      </c>
      <c r="FI70" s="940">
        <f t="shared" si="46"/>
        <v>17068.467821265294</v>
      </c>
      <c r="FJ70" s="840"/>
      <c r="FK70" s="938">
        <f t="shared" si="70"/>
        <v>-1623.6390812857026</v>
      </c>
      <c r="FN70" s="957"/>
      <c r="FO70" s="957"/>
      <c r="FP70" s="957"/>
      <c r="FU70" s="957"/>
      <c r="FV70" s="957"/>
    </row>
    <row r="71" spans="1:178" s="717" customFormat="1" ht="14.5" hidden="1" x14ac:dyDescent="0.35">
      <c r="A71" s="1052">
        <f t="shared" si="47"/>
        <v>60</v>
      </c>
      <c r="B71" s="813"/>
      <c r="C71" s="1052" t="s">
        <v>378</v>
      </c>
      <c r="D71" s="813">
        <f t="shared" si="74"/>
        <v>7</v>
      </c>
      <c r="E71" s="1052" t="s">
        <v>374</v>
      </c>
      <c r="F71" s="1053" t="s">
        <v>533</v>
      </c>
      <c r="G71" s="1053" t="s">
        <v>375</v>
      </c>
      <c r="H71" s="1053">
        <v>13.5</v>
      </c>
      <c r="I71" s="1054">
        <v>52000</v>
      </c>
      <c r="J71" s="950">
        <f t="shared" si="7"/>
        <v>702000</v>
      </c>
      <c r="K71" s="950">
        <v>40000</v>
      </c>
      <c r="L71" s="950">
        <v>30000</v>
      </c>
      <c r="M71" s="950"/>
      <c r="N71" s="950">
        <f t="shared" si="8"/>
        <v>772000</v>
      </c>
      <c r="O71" s="950">
        <f t="shared" si="9"/>
        <v>19300</v>
      </c>
      <c r="P71" s="950">
        <f t="shared" si="10"/>
        <v>791300</v>
      </c>
      <c r="Q71" s="1056">
        <f t="shared" si="11"/>
        <v>1.2500000000000001E-2</v>
      </c>
      <c r="R71" s="950">
        <f t="shared" si="12"/>
        <v>9891.25</v>
      </c>
      <c r="S71" s="1057" t="s">
        <v>450</v>
      </c>
      <c r="T71" s="1057">
        <f t="shared" si="13"/>
        <v>801191.25</v>
      </c>
      <c r="U71" s="1057"/>
      <c r="V71" s="1057">
        <f t="shared" si="14"/>
        <v>30044.671875</v>
      </c>
      <c r="W71" s="1057">
        <f t="shared" si="15"/>
        <v>831235.921875</v>
      </c>
      <c r="X71" s="1057"/>
      <c r="Y71" s="1057">
        <f t="shared" si="16"/>
        <v>831235.921875</v>
      </c>
      <c r="Z71" s="1057"/>
      <c r="AA71" s="1057">
        <f t="shared" si="17"/>
        <v>831235.921875</v>
      </c>
      <c r="AB71" s="1057"/>
      <c r="AC71" s="1057">
        <f t="shared" si="18"/>
        <v>831235.921875</v>
      </c>
      <c r="AD71" s="1057"/>
      <c r="AE71" s="1057">
        <f t="shared" si="19"/>
        <v>831235.921875</v>
      </c>
      <c r="AF71" s="1057"/>
      <c r="AG71" s="1057">
        <f t="shared" si="20"/>
        <v>831235.921875</v>
      </c>
      <c r="AH71" s="1057"/>
      <c r="AI71" s="1057">
        <f t="shared" si="21"/>
        <v>831235.921875</v>
      </c>
      <c r="AJ71" s="1057"/>
      <c r="AK71" s="1057">
        <f t="shared" si="22"/>
        <v>831235.921875</v>
      </c>
      <c r="AL71" s="1057"/>
      <c r="AM71" s="1057">
        <f t="shared" si="23"/>
        <v>831235.921875</v>
      </c>
      <c r="AN71" s="1057"/>
      <c r="AO71" s="1057">
        <f t="shared" si="24"/>
        <v>831235.921875</v>
      </c>
      <c r="AP71" s="1057"/>
      <c r="AQ71" s="1000">
        <f t="shared" si="25"/>
        <v>831235.921875</v>
      </c>
      <c r="AR71" s="1057"/>
      <c r="AS71" s="1000">
        <f t="shared" si="26"/>
        <v>831235.921875</v>
      </c>
      <c r="AT71" s="950">
        <f t="shared" si="27"/>
        <v>831235.921875</v>
      </c>
      <c r="AU71" s="950">
        <f t="shared" si="28"/>
        <v>99748.310624999998</v>
      </c>
      <c r="AV71" s="950">
        <f t="shared" si="29"/>
        <v>83123.592187500006</v>
      </c>
      <c r="AW71" s="950">
        <f t="shared" si="57"/>
        <v>1014107.8246875</v>
      </c>
      <c r="AX71" s="1058">
        <v>0.15</v>
      </c>
      <c r="AY71" s="950">
        <f t="shared" si="49"/>
        <v>152116.17370312501</v>
      </c>
      <c r="AZ71" s="950">
        <v>10000</v>
      </c>
      <c r="BA71" s="950">
        <f t="shared" si="50"/>
        <v>142116.17370312501</v>
      </c>
      <c r="BB71" s="1055">
        <f t="shared" si="71"/>
        <v>31</v>
      </c>
      <c r="BC71" s="1054">
        <f t="shared" si="51"/>
        <v>4584.3927001008069</v>
      </c>
      <c r="BD71" s="1059">
        <f t="shared" si="31"/>
        <v>0.85</v>
      </c>
      <c r="BE71" s="950">
        <f t="shared" si="52"/>
        <v>861991.65098437504</v>
      </c>
      <c r="BF71" s="1060">
        <f t="shared" si="32"/>
        <v>7747.8246514351467</v>
      </c>
      <c r="BG71" s="1060">
        <f t="shared" si="33"/>
        <v>10008.453969494676</v>
      </c>
      <c r="BH71" s="1060">
        <f t="shared" si="34"/>
        <v>17068.467821265294</v>
      </c>
      <c r="BK71" s="818"/>
      <c r="BL71" s="907">
        <f t="shared" si="75"/>
        <v>46082</v>
      </c>
      <c r="BM71" s="908">
        <f t="shared" si="35"/>
        <v>29</v>
      </c>
      <c r="BN71" s="909"/>
      <c r="BO71" s="907">
        <f t="shared" si="36"/>
        <v>46147</v>
      </c>
      <c r="BP71" s="914">
        <f t="shared" si="72"/>
        <v>31</v>
      </c>
      <c r="BQ71" s="818"/>
      <c r="BR71" s="818"/>
      <c r="BS71" s="818"/>
      <c r="BT71" s="818"/>
      <c r="BU71" s="818"/>
      <c r="BV71" s="818"/>
      <c r="BW71" s="818"/>
      <c r="BX71" s="818"/>
      <c r="BY71" s="818"/>
      <c r="BZ71" s="818"/>
      <c r="CA71" s="969" t="s">
        <v>262</v>
      </c>
      <c r="CB71" s="812" t="s">
        <v>262</v>
      </c>
      <c r="CC71" s="832" t="b">
        <f t="shared" si="38"/>
        <v>1</v>
      </c>
      <c r="CD71" s="717" t="s">
        <v>262</v>
      </c>
      <c r="CE71" s="949" t="b">
        <f t="shared" si="39"/>
        <v>1</v>
      </c>
      <c r="CG71" s="842"/>
      <c r="CH71" s="878"/>
      <c r="ED71" s="947"/>
      <c r="EF71" s="947"/>
      <c r="EG71" s="947"/>
      <c r="EH71" s="947"/>
      <c r="EI71" s="947"/>
      <c r="EJ71" s="947"/>
      <c r="EK71" s="947"/>
      <c r="EL71" s="947"/>
      <c r="EW71" s="840"/>
      <c r="EX71" s="938">
        <f t="shared" si="65"/>
        <v>1014107.8246875</v>
      </c>
      <c r="EY71" s="942">
        <f t="shared" si="66"/>
        <v>0.15</v>
      </c>
      <c r="EZ71" s="938">
        <f t="shared" si="67"/>
        <v>152116.17370312501</v>
      </c>
      <c r="FA71" s="938">
        <f t="shared" si="68"/>
        <v>10000</v>
      </c>
      <c r="FB71" s="938">
        <f t="shared" si="69"/>
        <v>142116.17370312501</v>
      </c>
      <c r="FC71" s="813">
        <f t="shared" si="73"/>
        <v>48</v>
      </c>
      <c r="FD71" s="814">
        <f t="shared" si="41"/>
        <v>2960.7536188151043</v>
      </c>
      <c r="FE71" s="942">
        <f t="shared" si="42"/>
        <v>0.85</v>
      </c>
      <c r="FF71" s="938">
        <f t="shared" si="43"/>
        <v>861991.65098437504</v>
      </c>
      <c r="FG71" s="940">
        <f t="shared" si="44"/>
        <v>7747.8246514351467</v>
      </c>
      <c r="FH71" s="940">
        <f t="shared" si="45"/>
        <v>10008.453969494676</v>
      </c>
      <c r="FI71" s="940">
        <f t="shared" si="46"/>
        <v>17068.467821265294</v>
      </c>
      <c r="FJ71" s="840"/>
      <c r="FK71" s="938">
        <f t="shared" si="70"/>
        <v>-1623.6390812857026</v>
      </c>
      <c r="FN71" s="957"/>
      <c r="FO71" s="957"/>
      <c r="FP71" s="957"/>
      <c r="FU71" s="957"/>
      <c r="FV71" s="957"/>
    </row>
    <row r="72" spans="1:178" s="717" customFormat="1" ht="14.5" x14ac:dyDescent="0.35">
      <c r="A72" s="813">
        <f t="shared" si="47"/>
        <v>61</v>
      </c>
      <c r="B72" s="813"/>
      <c r="C72" s="813" t="s">
        <v>378</v>
      </c>
      <c r="D72" s="813">
        <f t="shared" si="74"/>
        <v>8</v>
      </c>
      <c r="E72" s="813" t="s">
        <v>374</v>
      </c>
      <c r="F72" s="575" t="s">
        <v>534</v>
      </c>
      <c r="G72" s="575" t="s">
        <v>375</v>
      </c>
      <c r="H72" s="575">
        <v>13.5</v>
      </c>
      <c r="I72" s="814">
        <v>52000</v>
      </c>
      <c r="J72" s="815">
        <f t="shared" si="7"/>
        <v>702000</v>
      </c>
      <c r="K72" s="815">
        <v>40000</v>
      </c>
      <c r="L72" s="815">
        <v>30000</v>
      </c>
      <c r="M72" s="815"/>
      <c r="N72" s="815">
        <f t="shared" si="8"/>
        <v>772000</v>
      </c>
      <c r="O72" s="815">
        <f t="shared" si="9"/>
        <v>19300</v>
      </c>
      <c r="P72" s="815">
        <f t="shared" si="10"/>
        <v>791300</v>
      </c>
      <c r="Q72" s="948">
        <f t="shared" si="11"/>
        <v>1.2500000000000001E-2</v>
      </c>
      <c r="R72" s="815">
        <f t="shared" si="12"/>
        <v>9891.25</v>
      </c>
      <c r="S72" s="955" t="s">
        <v>450</v>
      </c>
      <c r="T72" s="955">
        <f t="shared" si="13"/>
        <v>801191.25</v>
      </c>
      <c r="U72" s="955"/>
      <c r="V72" s="955">
        <f t="shared" si="14"/>
        <v>30044.671875</v>
      </c>
      <c r="W72" s="955">
        <f t="shared" si="15"/>
        <v>831235.921875</v>
      </c>
      <c r="X72" s="955"/>
      <c r="Y72" s="955">
        <f t="shared" si="16"/>
        <v>831235.921875</v>
      </c>
      <c r="Z72" s="955"/>
      <c r="AA72" s="955">
        <f t="shared" si="17"/>
        <v>831235.921875</v>
      </c>
      <c r="AB72" s="955"/>
      <c r="AC72" s="955">
        <f t="shared" si="18"/>
        <v>831235.921875</v>
      </c>
      <c r="AD72" s="955"/>
      <c r="AE72" s="955">
        <f t="shared" si="19"/>
        <v>831235.921875</v>
      </c>
      <c r="AF72" s="955"/>
      <c r="AG72" s="955">
        <f t="shared" si="20"/>
        <v>831235.921875</v>
      </c>
      <c r="AH72" s="955"/>
      <c r="AI72" s="955">
        <f t="shared" si="21"/>
        <v>831235.921875</v>
      </c>
      <c r="AJ72" s="955"/>
      <c r="AK72" s="955">
        <f t="shared" si="22"/>
        <v>831235.921875</v>
      </c>
      <c r="AL72" s="955"/>
      <c r="AM72" s="955">
        <f t="shared" si="23"/>
        <v>831235.921875</v>
      </c>
      <c r="AN72" s="955">
        <f>$AN$10/10</f>
        <v>1738.8761600000003</v>
      </c>
      <c r="AO72" s="1000">
        <f t="shared" si="24"/>
        <v>832974.79803499999</v>
      </c>
      <c r="AP72" s="1000"/>
      <c r="AQ72" s="1000">
        <f t="shared" si="25"/>
        <v>832974.79803499999</v>
      </c>
      <c r="AR72" s="1000"/>
      <c r="AS72" s="1000">
        <f t="shared" si="26"/>
        <v>832974.79803499999</v>
      </c>
      <c r="AT72" s="815">
        <f t="shared" si="27"/>
        <v>832974.79803499999</v>
      </c>
      <c r="AU72" s="815">
        <f t="shared" si="28"/>
        <v>99956.975764199989</v>
      </c>
      <c r="AV72" s="815">
        <f t="shared" si="29"/>
        <v>83297.479803499999</v>
      </c>
      <c r="AW72" s="815">
        <f t="shared" si="57"/>
        <v>1016229.2536027</v>
      </c>
      <c r="AX72" s="816">
        <v>0.15</v>
      </c>
      <c r="AY72" s="815">
        <f t="shared" si="49"/>
        <v>152434.388040405</v>
      </c>
      <c r="AZ72" s="815">
        <v>10000</v>
      </c>
      <c r="BA72" s="815">
        <f t="shared" si="50"/>
        <v>142434.388040405</v>
      </c>
      <c r="BB72" s="815">
        <f t="shared" si="71"/>
        <v>31</v>
      </c>
      <c r="BC72" s="814">
        <f t="shared" si="51"/>
        <v>4594.6576787227423</v>
      </c>
      <c r="BD72" s="817">
        <f t="shared" si="31"/>
        <v>0.85</v>
      </c>
      <c r="BE72" s="815">
        <f t="shared" si="52"/>
        <v>863794.86556229496</v>
      </c>
      <c r="BF72" s="833">
        <f t="shared" si="32"/>
        <v>7764.0324538456225</v>
      </c>
      <c r="BG72" s="833">
        <f t="shared" si="33"/>
        <v>10029.390819729388</v>
      </c>
      <c r="BH72" s="833">
        <f t="shared" si="34"/>
        <v>17104.173631133537</v>
      </c>
      <c r="BK72" s="818"/>
      <c r="BL72" s="907">
        <f t="shared" si="75"/>
        <v>46082</v>
      </c>
      <c r="BM72" s="908">
        <f t="shared" si="35"/>
        <v>29</v>
      </c>
      <c r="BN72" s="909"/>
      <c r="BO72" s="907">
        <f t="shared" si="36"/>
        <v>46147</v>
      </c>
      <c r="BP72" s="914">
        <f t="shared" si="72"/>
        <v>31</v>
      </c>
      <c r="BQ72" s="818"/>
      <c r="BR72" s="818"/>
      <c r="BS72" s="818"/>
      <c r="BT72" s="818"/>
      <c r="BU72" s="818"/>
      <c r="BV72" s="818"/>
      <c r="BW72" s="818"/>
      <c r="BX72" s="818"/>
      <c r="BY72" s="818"/>
      <c r="BZ72" s="818"/>
      <c r="CA72" s="969" t="s">
        <v>263</v>
      </c>
      <c r="CB72" s="812" t="s">
        <v>263</v>
      </c>
      <c r="CC72" s="832" t="b">
        <f t="shared" si="38"/>
        <v>1</v>
      </c>
      <c r="CD72" s="717" t="s">
        <v>263</v>
      </c>
      <c r="CE72" s="949" t="b">
        <f t="shared" si="39"/>
        <v>1</v>
      </c>
      <c r="CG72" s="842"/>
      <c r="CH72" s="878"/>
      <c r="ED72" s="947"/>
      <c r="EF72" s="947"/>
      <c r="EG72" s="947"/>
      <c r="EH72" s="947"/>
      <c r="EI72" s="947"/>
      <c r="EJ72" s="947"/>
      <c r="EK72" s="947"/>
      <c r="EL72" s="947"/>
      <c r="EW72" s="840"/>
      <c r="EX72" s="938">
        <f t="shared" si="65"/>
        <v>1016229.2536027</v>
      </c>
      <c r="EY72" s="942">
        <f t="shared" si="66"/>
        <v>0.15</v>
      </c>
      <c r="EZ72" s="938">
        <f t="shared" si="67"/>
        <v>152434.388040405</v>
      </c>
      <c r="FA72" s="938">
        <f t="shared" si="68"/>
        <v>10000</v>
      </c>
      <c r="FB72" s="938">
        <f t="shared" si="69"/>
        <v>142434.388040405</v>
      </c>
      <c r="FC72" s="813">
        <f t="shared" si="73"/>
        <v>48</v>
      </c>
      <c r="FD72" s="814">
        <f t="shared" si="41"/>
        <v>2967.3830841751042</v>
      </c>
      <c r="FE72" s="942">
        <f t="shared" si="42"/>
        <v>0.85</v>
      </c>
      <c r="FF72" s="938">
        <f t="shared" si="43"/>
        <v>863794.86556229496</v>
      </c>
      <c r="FG72" s="940">
        <f t="shared" si="44"/>
        <v>7764.0324538456225</v>
      </c>
      <c r="FH72" s="940">
        <f t="shared" si="45"/>
        <v>10029.390819729388</v>
      </c>
      <c r="FI72" s="940">
        <f t="shared" si="46"/>
        <v>17104.173631133537</v>
      </c>
      <c r="FJ72" s="840"/>
      <c r="FK72" s="938">
        <f t="shared" si="70"/>
        <v>-1627.2745945476381</v>
      </c>
      <c r="FN72" s="957"/>
      <c r="FO72" s="957"/>
      <c r="FP72" s="957"/>
      <c r="FU72" s="957"/>
      <c r="FV72" s="957"/>
    </row>
    <row r="73" spans="1:178" s="717" customFormat="1" ht="14.5" hidden="1" x14ac:dyDescent="0.35">
      <c r="A73" s="822">
        <f t="shared" si="47"/>
        <v>62</v>
      </c>
      <c r="B73" s="813"/>
      <c r="C73" s="822" t="s">
        <v>378</v>
      </c>
      <c r="D73" s="813">
        <f t="shared" si="74"/>
        <v>9</v>
      </c>
      <c r="E73" s="822" t="s">
        <v>374</v>
      </c>
      <c r="F73" s="823" t="s">
        <v>535</v>
      </c>
      <c r="G73" s="823" t="s">
        <v>375</v>
      </c>
      <c r="H73" s="823">
        <v>13.5</v>
      </c>
      <c r="I73" s="824">
        <v>52000</v>
      </c>
      <c r="J73" s="825">
        <f t="shared" si="7"/>
        <v>702000</v>
      </c>
      <c r="K73" s="825">
        <v>40000</v>
      </c>
      <c r="L73" s="825">
        <v>30000</v>
      </c>
      <c r="M73" s="825"/>
      <c r="N73" s="825">
        <f t="shared" si="8"/>
        <v>772000</v>
      </c>
      <c r="O73" s="825">
        <f t="shared" si="9"/>
        <v>19300</v>
      </c>
      <c r="P73" s="825">
        <f t="shared" si="10"/>
        <v>791300</v>
      </c>
      <c r="Q73" s="1088">
        <f t="shared" si="11"/>
        <v>1.2500000000000001E-2</v>
      </c>
      <c r="R73" s="825">
        <f t="shared" si="12"/>
        <v>9891.25</v>
      </c>
      <c r="S73" s="1089" t="s">
        <v>450</v>
      </c>
      <c r="T73" s="1089">
        <f t="shared" si="13"/>
        <v>801191.25</v>
      </c>
      <c r="U73" s="1089"/>
      <c r="V73" s="1089">
        <f t="shared" si="14"/>
        <v>30044.671875</v>
      </c>
      <c r="W73" s="1089">
        <f t="shared" si="15"/>
        <v>831235.921875</v>
      </c>
      <c r="X73" s="1089"/>
      <c r="Y73" s="1089">
        <f t="shared" si="16"/>
        <v>831235.921875</v>
      </c>
      <c r="Z73" s="1089"/>
      <c r="AA73" s="1089">
        <f t="shared" si="17"/>
        <v>831235.921875</v>
      </c>
      <c r="AB73" s="1089"/>
      <c r="AC73" s="1089">
        <f t="shared" si="18"/>
        <v>831235.921875</v>
      </c>
      <c r="AD73" s="1089"/>
      <c r="AE73" s="1089">
        <f t="shared" si="19"/>
        <v>831235.921875</v>
      </c>
      <c r="AF73" s="1089"/>
      <c r="AG73" s="1089">
        <f t="shared" si="20"/>
        <v>831235.921875</v>
      </c>
      <c r="AH73" s="1089"/>
      <c r="AI73" s="1089">
        <f t="shared" si="21"/>
        <v>831235.921875</v>
      </c>
      <c r="AJ73" s="1089"/>
      <c r="AK73" s="1089">
        <f t="shared" si="22"/>
        <v>831235.921875</v>
      </c>
      <c r="AL73" s="1089"/>
      <c r="AM73" s="1089">
        <f t="shared" si="23"/>
        <v>831235.921875</v>
      </c>
      <c r="AN73" s="1089"/>
      <c r="AO73" s="1089">
        <f t="shared" si="24"/>
        <v>831235.921875</v>
      </c>
      <c r="AP73" s="1089"/>
      <c r="AQ73" s="1000">
        <f t="shared" si="25"/>
        <v>831235.921875</v>
      </c>
      <c r="AR73" s="1089"/>
      <c r="AS73" s="1000">
        <f t="shared" si="26"/>
        <v>831235.921875</v>
      </c>
      <c r="AT73" s="825">
        <f t="shared" si="27"/>
        <v>831235.921875</v>
      </c>
      <c r="AU73" s="825">
        <f t="shared" si="28"/>
        <v>99748.310624999998</v>
      </c>
      <c r="AV73" s="825">
        <f t="shared" si="29"/>
        <v>83123.592187500006</v>
      </c>
      <c r="AW73" s="825">
        <f t="shared" si="57"/>
        <v>1014107.8246875</v>
      </c>
      <c r="AX73" s="826">
        <v>0.15</v>
      </c>
      <c r="AY73" s="825">
        <f t="shared" si="49"/>
        <v>152116.17370312501</v>
      </c>
      <c r="AZ73" s="825">
        <v>10000</v>
      </c>
      <c r="BA73" s="825">
        <f t="shared" si="50"/>
        <v>142116.17370312501</v>
      </c>
      <c r="BB73" s="825">
        <f t="shared" si="71"/>
        <v>31</v>
      </c>
      <c r="BC73" s="824">
        <f t="shared" si="51"/>
        <v>4584.3927001008069</v>
      </c>
      <c r="BD73" s="827">
        <f t="shared" si="31"/>
        <v>0.85</v>
      </c>
      <c r="BE73" s="825">
        <f t="shared" si="52"/>
        <v>861991.65098437504</v>
      </c>
      <c r="BF73" s="1090">
        <f t="shared" si="32"/>
        <v>7747.8246514351467</v>
      </c>
      <c r="BG73" s="1090">
        <f t="shared" si="33"/>
        <v>10008.453969494676</v>
      </c>
      <c r="BH73" s="1090">
        <f t="shared" si="34"/>
        <v>17068.467821265294</v>
      </c>
      <c r="BK73" s="818"/>
      <c r="BL73" s="907">
        <f t="shared" si="75"/>
        <v>46082</v>
      </c>
      <c r="BM73" s="908">
        <f t="shared" si="35"/>
        <v>29</v>
      </c>
      <c r="BN73" s="909"/>
      <c r="BO73" s="907">
        <f t="shared" si="36"/>
        <v>46147</v>
      </c>
      <c r="BP73" s="914">
        <f t="shared" si="72"/>
        <v>31</v>
      </c>
      <c r="BQ73" s="818"/>
      <c r="BR73" s="818"/>
      <c r="BS73" s="818"/>
      <c r="BT73" s="818"/>
      <c r="BU73" s="818"/>
      <c r="BV73" s="818"/>
      <c r="BW73" s="818"/>
      <c r="BX73" s="818"/>
      <c r="BY73" s="818"/>
      <c r="BZ73" s="818"/>
      <c r="CA73" s="969" t="s">
        <v>262</v>
      </c>
      <c r="CB73" s="812" t="s">
        <v>262</v>
      </c>
      <c r="CC73" s="832" t="b">
        <f t="shared" si="38"/>
        <v>1</v>
      </c>
      <c r="CD73" s="717" t="s">
        <v>262</v>
      </c>
      <c r="CE73" s="949" t="b">
        <f t="shared" si="39"/>
        <v>1</v>
      </c>
      <c r="CG73" s="842"/>
      <c r="CH73" s="878"/>
      <c r="ED73" s="947"/>
      <c r="EF73" s="947"/>
      <c r="EG73" s="947"/>
      <c r="EH73" s="947"/>
      <c r="EI73" s="947"/>
      <c r="EJ73" s="947"/>
      <c r="EK73" s="947"/>
      <c r="EL73" s="947"/>
      <c r="EW73" s="840"/>
      <c r="EX73" s="938">
        <f t="shared" si="65"/>
        <v>1014107.8246875</v>
      </c>
      <c r="EY73" s="942">
        <f t="shared" si="66"/>
        <v>0.15</v>
      </c>
      <c r="EZ73" s="938">
        <f t="shared" si="67"/>
        <v>152116.17370312501</v>
      </c>
      <c r="FA73" s="938">
        <f t="shared" si="68"/>
        <v>10000</v>
      </c>
      <c r="FB73" s="938">
        <f t="shared" si="69"/>
        <v>142116.17370312501</v>
      </c>
      <c r="FC73" s="813">
        <f t="shared" si="73"/>
        <v>48</v>
      </c>
      <c r="FD73" s="814">
        <f t="shared" si="41"/>
        <v>2960.7536188151043</v>
      </c>
      <c r="FE73" s="942">
        <f t="shared" si="42"/>
        <v>0.85</v>
      </c>
      <c r="FF73" s="938">
        <f t="shared" si="43"/>
        <v>861991.65098437504</v>
      </c>
      <c r="FG73" s="940">
        <f t="shared" si="44"/>
        <v>7747.8246514351467</v>
      </c>
      <c r="FH73" s="940">
        <f t="shared" si="45"/>
        <v>10008.453969494676</v>
      </c>
      <c r="FI73" s="940">
        <f t="shared" si="46"/>
        <v>17068.467821265294</v>
      </c>
      <c r="FJ73" s="840"/>
      <c r="FK73" s="938">
        <f t="shared" si="70"/>
        <v>-1623.6390812857026</v>
      </c>
      <c r="FN73" s="957"/>
      <c r="FO73" s="957"/>
      <c r="FP73" s="957"/>
      <c r="FU73" s="957"/>
      <c r="FV73" s="957"/>
    </row>
    <row r="74" spans="1:178" s="717" customFormat="1" ht="14.5" hidden="1" x14ac:dyDescent="0.35">
      <c r="A74" s="813">
        <f t="shared" si="47"/>
        <v>63</v>
      </c>
      <c r="B74" s="813"/>
      <c r="C74" s="813" t="s">
        <v>378</v>
      </c>
      <c r="D74" s="813">
        <f t="shared" si="74"/>
        <v>10</v>
      </c>
      <c r="E74" s="813" t="s">
        <v>374</v>
      </c>
      <c r="F74" s="575" t="s">
        <v>536</v>
      </c>
      <c r="G74" s="575" t="s">
        <v>375</v>
      </c>
      <c r="H74" s="575">
        <v>13.5</v>
      </c>
      <c r="I74" s="814">
        <v>52000</v>
      </c>
      <c r="J74" s="815">
        <f t="shared" si="7"/>
        <v>702000</v>
      </c>
      <c r="K74" s="815">
        <v>40000</v>
      </c>
      <c r="L74" s="815">
        <v>30000</v>
      </c>
      <c r="M74" s="815"/>
      <c r="N74" s="815">
        <f t="shared" si="8"/>
        <v>772000</v>
      </c>
      <c r="O74" s="815">
        <f t="shared" si="9"/>
        <v>19300</v>
      </c>
      <c r="P74" s="815">
        <f t="shared" si="10"/>
        <v>791300</v>
      </c>
      <c r="Q74" s="948">
        <f t="shared" si="11"/>
        <v>1.2500000000000001E-2</v>
      </c>
      <c r="R74" s="815">
        <f t="shared" si="12"/>
        <v>9891.25</v>
      </c>
      <c r="S74" s="955" t="s">
        <v>450</v>
      </c>
      <c r="T74" s="955">
        <f t="shared" si="13"/>
        <v>801191.25</v>
      </c>
      <c r="U74" s="955"/>
      <c r="V74" s="955">
        <f t="shared" si="14"/>
        <v>30044.671875</v>
      </c>
      <c r="W74" s="955">
        <f t="shared" si="15"/>
        <v>831235.921875</v>
      </c>
      <c r="X74" s="955"/>
      <c r="Y74" s="955">
        <f t="shared" si="16"/>
        <v>831235.921875</v>
      </c>
      <c r="Z74" s="955"/>
      <c r="AA74" s="955">
        <f t="shared" si="17"/>
        <v>831235.921875</v>
      </c>
      <c r="AB74" s="955"/>
      <c r="AC74" s="955">
        <f t="shared" si="18"/>
        <v>831235.921875</v>
      </c>
      <c r="AD74" s="955"/>
      <c r="AE74" s="955">
        <f t="shared" si="19"/>
        <v>831235.921875</v>
      </c>
      <c r="AF74" s="955"/>
      <c r="AG74" s="955">
        <f t="shared" si="20"/>
        <v>831235.921875</v>
      </c>
      <c r="AH74" s="955"/>
      <c r="AI74" s="955">
        <f t="shared" si="21"/>
        <v>831235.921875</v>
      </c>
      <c r="AJ74" s="955"/>
      <c r="AK74" s="955">
        <f t="shared" si="22"/>
        <v>831235.921875</v>
      </c>
      <c r="AL74" s="955"/>
      <c r="AM74" s="955">
        <f t="shared" si="23"/>
        <v>831235.921875</v>
      </c>
      <c r="AN74" s="955"/>
      <c r="AO74" s="955">
        <f t="shared" si="24"/>
        <v>831235.921875</v>
      </c>
      <c r="AP74" s="955"/>
      <c r="AQ74" s="1000">
        <f t="shared" si="25"/>
        <v>831235.921875</v>
      </c>
      <c r="AR74" s="955"/>
      <c r="AS74" s="1000">
        <f t="shared" si="26"/>
        <v>831235.921875</v>
      </c>
      <c r="AT74" s="815">
        <f t="shared" si="27"/>
        <v>831235.921875</v>
      </c>
      <c r="AU74" s="815">
        <f t="shared" si="28"/>
        <v>99748.310624999998</v>
      </c>
      <c r="AV74" s="815">
        <f t="shared" si="29"/>
        <v>83123.592187500006</v>
      </c>
      <c r="AW74" s="815">
        <f t="shared" si="57"/>
        <v>1014107.8246875</v>
      </c>
      <c r="AX74" s="816">
        <v>0.15</v>
      </c>
      <c r="AY74" s="815">
        <f t="shared" si="49"/>
        <v>152116.17370312501</v>
      </c>
      <c r="AZ74" s="815">
        <v>10000</v>
      </c>
      <c r="BA74" s="815">
        <f t="shared" si="50"/>
        <v>142116.17370312501</v>
      </c>
      <c r="BB74" s="825">
        <f t="shared" si="71"/>
        <v>31</v>
      </c>
      <c r="BC74" s="814">
        <f t="shared" si="51"/>
        <v>4584.3927001008069</v>
      </c>
      <c r="BD74" s="817">
        <f t="shared" si="31"/>
        <v>0.85</v>
      </c>
      <c r="BE74" s="815">
        <f t="shared" si="52"/>
        <v>861991.65098437504</v>
      </c>
      <c r="BF74" s="833">
        <f t="shared" si="32"/>
        <v>7747.8246514351467</v>
      </c>
      <c r="BG74" s="833">
        <f t="shared" si="33"/>
        <v>10008.453969494676</v>
      </c>
      <c r="BH74" s="833">
        <f t="shared" si="34"/>
        <v>17068.467821265294</v>
      </c>
      <c r="BK74" s="818"/>
      <c r="BL74" s="907">
        <f t="shared" si="75"/>
        <v>46082</v>
      </c>
      <c r="BM74" s="908">
        <f t="shared" si="35"/>
        <v>29</v>
      </c>
      <c r="BN74" s="909"/>
      <c r="BO74" s="907">
        <f t="shared" si="36"/>
        <v>46147</v>
      </c>
      <c r="BP74" s="914">
        <f t="shared" si="72"/>
        <v>31</v>
      </c>
      <c r="BQ74" s="818"/>
      <c r="BR74" s="818"/>
      <c r="BS74" s="818"/>
      <c r="BT74" s="818"/>
      <c r="BU74" s="818"/>
      <c r="BV74" s="818"/>
      <c r="BW74" s="818"/>
      <c r="BX74" s="818"/>
      <c r="BY74" s="818"/>
      <c r="BZ74" s="818"/>
      <c r="CA74" s="969" t="s">
        <v>262</v>
      </c>
      <c r="CB74" s="812" t="s">
        <v>262</v>
      </c>
      <c r="CC74" s="832" t="b">
        <f t="shared" si="38"/>
        <v>1</v>
      </c>
      <c r="CD74" s="717" t="s">
        <v>262</v>
      </c>
      <c r="CE74" s="949" t="b">
        <f t="shared" si="39"/>
        <v>1</v>
      </c>
      <c r="CG74" s="842"/>
      <c r="CH74" s="878"/>
      <c r="ED74" s="947"/>
      <c r="EF74" s="947"/>
      <c r="EG74" s="947"/>
      <c r="EH74" s="947"/>
      <c r="EI74" s="947"/>
      <c r="EJ74" s="947"/>
      <c r="EK74" s="947"/>
      <c r="EL74" s="947"/>
      <c r="EW74" s="840"/>
      <c r="EX74" s="938">
        <f t="shared" si="65"/>
        <v>1014107.8246875</v>
      </c>
      <c r="EY74" s="942">
        <f t="shared" si="66"/>
        <v>0.15</v>
      </c>
      <c r="EZ74" s="938">
        <f t="shared" si="67"/>
        <v>152116.17370312501</v>
      </c>
      <c r="FA74" s="938">
        <f t="shared" si="68"/>
        <v>10000</v>
      </c>
      <c r="FB74" s="938">
        <f t="shared" si="69"/>
        <v>142116.17370312501</v>
      </c>
      <c r="FC74" s="813">
        <f t="shared" si="73"/>
        <v>48</v>
      </c>
      <c r="FD74" s="814">
        <f t="shared" si="41"/>
        <v>2960.7536188151043</v>
      </c>
      <c r="FE74" s="942">
        <f t="shared" si="42"/>
        <v>0.85</v>
      </c>
      <c r="FF74" s="938">
        <f t="shared" si="43"/>
        <v>861991.65098437504</v>
      </c>
      <c r="FG74" s="940">
        <f t="shared" si="44"/>
        <v>7747.8246514351467</v>
      </c>
      <c r="FH74" s="940">
        <f t="shared" si="45"/>
        <v>10008.453969494676</v>
      </c>
      <c r="FI74" s="940">
        <f t="shared" si="46"/>
        <v>17068.467821265294</v>
      </c>
      <c r="FJ74" s="840"/>
      <c r="FK74" s="938">
        <f t="shared" si="70"/>
        <v>-1623.6390812857026</v>
      </c>
      <c r="FN74" s="957"/>
      <c r="FO74" s="957"/>
      <c r="FP74" s="957"/>
      <c r="FU74" s="957"/>
      <c r="FV74" s="957"/>
    </row>
    <row r="75" spans="1:178" s="717" customFormat="1" ht="14.5" hidden="1" x14ac:dyDescent="0.35">
      <c r="A75" s="813">
        <f t="shared" si="47"/>
        <v>64</v>
      </c>
      <c r="B75" s="813"/>
      <c r="C75" s="813" t="s">
        <v>378</v>
      </c>
      <c r="D75" s="813">
        <f t="shared" si="74"/>
        <v>11</v>
      </c>
      <c r="E75" s="813" t="s">
        <v>374</v>
      </c>
      <c r="F75" s="575" t="s">
        <v>537</v>
      </c>
      <c r="G75" s="575" t="s">
        <v>375</v>
      </c>
      <c r="H75" s="575">
        <v>13.5</v>
      </c>
      <c r="I75" s="814">
        <v>52000</v>
      </c>
      <c r="J75" s="815">
        <f t="shared" si="7"/>
        <v>702000</v>
      </c>
      <c r="K75" s="815">
        <v>40000</v>
      </c>
      <c r="L75" s="815">
        <v>30000</v>
      </c>
      <c r="M75" s="815"/>
      <c r="N75" s="815">
        <f t="shared" si="8"/>
        <v>772000</v>
      </c>
      <c r="O75" s="815">
        <f t="shared" si="9"/>
        <v>19300</v>
      </c>
      <c r="P75" s="815">
        <f t="shared" si="10"/>
        <v>791300</v>
      </c>
      <c r="Q75" s="948">
        <f t="shared" si="11"/>
        <v>1.2500000000000001E-2</v>
      </c>
      <c r="R75" s="815">
        <f t="shared" si="12"/>
        <v>9891.25</v>
      </c>
      <c r="S75" s="955">
        <v>0</v>
      </c>
      <c r="T75" s="955">
        <f t="shared" si="13"/>
        <v>801191.25</v>
      </c>
      <c r="U75" s="955"/>
      <c r="V75" s="955">
        <f t="shared" si="14"/>
        <v>30044.671875</v>
      </c>
      <c r="W75" s="955">
        <f t="shared" si="15"/>
        <v>831235.921875</v>
      </c>
      <c r="X75" s="955"/>
      <c r="Y75" s="955">
        <f t="shared" si="16"/>
        <v>831235.921875</v>
      </c>
      <c r="Z75" s="955"/>
      <c r="AA75" s="955">
        <f t="shared" si="17"/>
        <v>831235.921875</v>
      </c>
      <c r="AB75" s="955"/>
      <c r="AC75" s="955">
        <f t="shared" si="18"/>
        <v>831235.921875</v>
      </c>
      <c r="AD75" s="955"/>
      <c r="AE75" s="955">
        <f t="shared" si="19"/>
        <v>831235.921875</v>
      </c>
      <c r="AF75" s="955"/>
      <c r="AG75" s="955">
        <f t="shared" si="20"/>
        <v>831235.921875</v>
      </c>
      <c r="AH75" s="955"/>
      <c r="AI75" s="955">
        <f t="shared" si="21"/>
        <v>831235.921875</v>
      </c>
      <c r="AJ75" s="955"/>
      <c r="AK75" s="955">
        <f t="shared" si="22"/>
        <v>831235.921875</v>
      </c>
      <c r="AL75" s="955"/>
      <c r="AM75" s="955">
        <f t="shared" si="23"/>
        <v>831235.921875</v>
      </c>
      <c r="AN75" s="955"/>
      <c r="AO75" s="955">
        <f t="shared" si="24"/>
        <v>831235.921875</v>
      </c>
      <c r="AP75" s="955"/>
      <c r="AQ75" s="1000">
        <f t="shared" si="25"/>
        <v>831235.921875</v>
      </c>
      <c r="AR75" s="955"/>
      <c r="AS75" s="1000">
        <f t="shared" si="26"/>
        <v>831235.921875</v>
      </c>
      <c r="AT75" s="815">
        <f t="shared" si="27"/>
        <v>831235.921875</v>
      </c>
      <c r="AU75" s="815">
        <f t="shared" si="28"/>
        <v>99748.310624999998</v>
      </c>
      <c r="AV75" s="815">
        <f t="shared" si="29"/>
        <v>83123.592187500006</v>
      </c>
      <c r="AW75" s="815">
        <f t="shared" si="57"/>
        <v>1014107.8246875</v>
      </c>
      <c r="AX75" s="816">
        <v>0.15</v>
      </c>
      <c r="AY75" s="815">
        <f t="shared" si="49"/>
        <v>152116.17370312501</v>
      </c>
      <c r="AZ75" s="815">
        <v>10000</v>
      </c>
      <c r="BA75" s="815">
        <f t="shared" si="50"/>
        <v>142116.17370312501</v>
      </c>
      <c r="BB75" s="825">
        <f t="shared" si="71"/>
        <v>31</v>
      </c>
      <c r="BC75" s="814">
        <f t="shared" si="51"/>
        <v>4584.3927001008069</v>
      </c>
      <c r="BD75" s="817">
        <f t="shared" si="31"/>
        <v>0.85</v>
      </c>
      <c r="BE75" s="815">
        <f t="shared" si="52"/>
        <v>861991.65098437504</v>
      </c>
      <c r="BF75" s="833">
        <f t="shared" si="32"/>
        <v>7747.8246514351467</v>
      </c>
      <c r="BG75" s="833">
        <f t="shared" si="33"/>
        <v>10008.453969494676</v>
      </c>
      <c r="BH75" s="833">
        <f t="shared" si="34"/>
        <v>17068.467821265294</v>
      </c>
      <c r="BK75" s="818"/>
      <c r="BL75" s="907">
        <f t="shared" si="75"/>
        <v>46082</v>
      </c>
      <c r="BM75" s="908">
        <f t="shared" si="35"/>
        <v>29</v>
      </c>
      <c r="BN75" s="909"/>
      <c r="BO75" s="907">
        <f t="shared" si="36"/>
        <v>46147</v>
      </c>
      <c r="BP75" s="914">
        <f t="shared" si="72"/>
        <v>31</v>
      </c>
      <c r="BQ75" s="818"/>
      <c r="BR75" s="818"/>
      <c r="BS75" s="818"/>
      <c r="BT75" s="818"/>
      <c r="BU75" s="818"/>
      <c r="BV75" s="818"/>
      <c r="BW75" s="818"/>
      <c r="BX75" s="818"/>
      <c r="BY75" s="818"/>
      <c r="BZ75" s="818"/>
      <c r="CA75" s="969" t="s">
        <v>262</v>
      </c>
      <c r="CB75" s="812" t="s">
        <v>262</v>
      </c>
      <c r="CC75" s="832" t="b">
        <f t="shared" si="38"/>
        <v>1</v>
      </c>
      <c r="CD75" s="717" t="s">
        <v>262</v>
      </c>
      <c r="CE75" s="949" t="b">
        <f t="shared" si="39"/>
        <v>1</v>
      </c>
      <c r="CG75" s="842"/>
      <c r="CH75" s="878"/>
      <c r="ED75" s="947"/>
      <c r="EF75" s="947"/>
      <c r="EG75" s="947"/>
      <c r="EH75" s="947"/>
      <c r="EI75" s="947"/>
      <c r="EJ75" s="947"/>
      <c r="EK75" s="947"/>
      <c r="EL75" s="947"/>
      <c r="EW75" s="840"/>
      <c r="EX75" s="938">
        <f t="shared" si="65"/>
        <v>1014107.8246875</v>
      </c>
      <c r="EY75" s="942">
        <f t="shared" si="66"/>
        <v>0.15</v>
      </c>
      <c r="EZ75" s="938">
        <f t="shared" si="67"/>
        <v>152116.17370312501</v>
      </c>
      <c r="FA75" s="938">
        <f t="shared" si="68"/>
        <v>10000</v>
      </c>
      <c r="FB75" s="938">
        <f t="shared" si="69"/>
        <v>142116.17370312501</v>
      </c>
      <c r="FC75" s="813">
        <f t="shared" si="73"/>
        <v>48</v>
      </c>
      <c r="FD75" s="814">
        <f t="shared" si="41"/>
        <v>2960.7536188151043</v>
      </c>
      <c r="FE75" s="942">
        <f t="shared" si="42"/>
        <v>0.85</v>
      </c>
      <c r="FF75" s="938">
        <f t="shared" si="43"/>
        <v>861991.65098437504</v>
      </c>
      <c r="FG75" s="940">
        <f t="shared" si="44"/>
        <v>7747.8246514351467</v>
      </c>
      <c r="FH75" s="940">
        <f t="shared" si="45"/>
        <v>10008.453969494676</v>
      </c>
      <c r="FI75" s="940">
        <f t="shared" si="46"/>
        <v>17068.467821265294</v>
      </c>
      <c r="FJ75" s="840"/>
      <c r="FK75" s="938">
        <f t="shared" si="70"/>
        <v>-1623.6390812857026</v>
      </c>
      <c r="FN75" s="957"/>
      <c r="FO75" s="957"/>
      <c r="FP75" s="957"/>
      <c r="FU75" s="957"/>
      <c r="FV75" s="957"/>
    </row>
    <row r="76" spans="1:178" s="717" customFormat="1" ht="14.5" hidden="1" x14ac:dyDescent="0.35">
      <c r="A76" s="813">
        <f t="shared" si="47"/>
        <v>65</v>
      </c>
      <c r="B76" s="813"/>
      <c r="C76" s="813" t="s">
        <v>378</v>
      </c>
      <c r="D76" s="813">
        <f t="shared" si="74"/>
        <v>12</v>
      </c>
      <c r="E76" s="813" t="s">
        <v>374</v>
      </c>
      <c r="F76" s="575" t="s">
        <v>538</v>
      </c>
      <c r="G76" s="575" t="s">
        <v>375</v>
      </c>
      <c r="H76" s="575">
        <v>13.5</v>
      </c>
      <c r="I76" s="814">
        <v>52000</v>
      </c>
      <c r="J76" s="815">
        <f t="shared" si="7"/>
        <v>702000</v>
      </c>
      <c r="K76" s="815">
        <v>40000</v>
      </c>
      <c r="L76" s="815">
        <v>30000</v>
      </c>
      <c r="M76" s="815"/>
      <c r="N76" s="815">
        <f t="shared" si="8"/>
        <v>772000</v>
      </c>
      <c r="O76" s="815">
        <f t="shared" si="9"/>
        <v>19300</v>
      </c>
      <c r="P76" s="815">
        <f t="shared" si="10"/>
        <v>791300</v>
      </c>
      <c r="Q76" s="948">
        <f t="shared" si="11"/>
        <v>1.2500000000000001E-2</v>
      </c>
      <c r="R76" s="815">
        <f t="shared" si="12"/>
        <v>9891.25</v>
      </c>
      <c r="S76" s="955" t="s">
        <v>450</v>
      </c>
      <c r="T76" s="955">
        <f t="shared" si="13"/>
        <v>801191.25</v>
      </c>
      <c r="U76" s="955"/>
      <c r="V76" s="955">
        <f t="shared" si="14"/>
        <v>30044.671875</v>
      </c>
      <c r="W76" s="955">
        <f t="shared" si="15"/>
        <v>831235.921875</v>
      </c>
      <c r="X76" s="955"/>
      <c r="Y76" s="955">
        <f t="shared" si="16"/>
        <v>831235.921875</v>
      </c>
      <c r="Z76" s="955"/>
      <c r="AA76" s="955">
        <f t="shared" si="17"/>
        <v>831235.921875</v>
      </c>
      <c r="AB76" s="955"/>
      <c r="AC76" s="955">
        <f t="shared" si="18"/>
        <v>831235.921875</v>
      </c>
      <c r="AD76" s="955"/>
      <c r="AE76" s="955">
        <f t="shared" si="19"/>
        <v>831235.921875</v>
      </c>
      <c r="AF76" s="955"/>
      <c r="AG76" s="955">
        <f t="shared" si="20"/>
        <v>831235.921875</v>
      </c>
      <c r="AH76" s="955"/>
      <c r="AI76" s="955">
        <f t="shared" si="21"/>
        <v>831235.921875</v>
      </c>
      <c r="AJ76" s="955"/>
      <c r="AK76" s="955">
        <f t="shared" si="22"/>
        <v>831235.921875</v>
      </c>
      <c r="AL76" s="955"/>
      <c r="AM76" s="955">
        <f t="shared" si="23"/>
        <v>831235.921875</v>
      </c>
      <c r="AN76" s="955"/>
      <c r="AO76" s="955">
        <f t="shared" si="24"/>
        <v>831235.921875</v>
      </c>
      <c r="AP76" s="955"/>
      <c r="AQ76" s="1000">
        <f t="shared" si="25"/>
        <v>831235.921875</v>
      </c>
      <c r="AR76" s="955"/>
      <c r="AS76" s="1000">
        <f t="shared" si="26"/>
        <v>831235.921875</v>
      </c>
      <c r="AT76" s="815">
        <f t="shared" si="27"/>
        <v>831235.921875</v>
      </c>
      <c r="AU76" s="815">
        <f t="shared" si="28"/>
        <v>99748.310624999998</v>
      </c>
      <c r="AV76" s="815">
        <f t="shared" si="29"/>
        <v>83123.592187500006</v>
      </c>
      <c r="AW76" s="815">
        <f t="shared" si="57"/>
        <v>1014107.8246875</v>
      </c>
      <c r="AX76" s="816">
        <v>0.15</v>
      </c>
      <c r="AY76" s="815">
        <f t="shared" si="49"/>
        <v>152116.17370312501</v>
      </c>
      <c r="AZ76" s="815">
        <v>10000</v>
      </c>
      <c r="BA76" s="815">
        <f t="shared" si="50"/>
        <v>142116.17370312501</v>
      </c>
      <c r="BB76" s="825">
        <f t="shared" si="71"/>
        <v>31</v>
      </c>
      <c r="BC76" s="814">
        <f t="shared" si="51"/>
        <v>4584.3927001008069</v>
      </c>
      <c r="BD76" s="817">
        <f t="shared" si="31"/>
        <v>0.85</v>
      </c>
      <c r="BE76" s="815">
        <f t="shared" si="52"/>
        <v>861991.65098437504</v>
      </c>
      <c r="BF76" s="833">
        <f t="shared" si="32"/>
        <v>7747.8246514351467</v>
      </c>
      <c r="BG76" s="833">
        <f t="shared" si="33"/>
        <v>10008.453969494676</v>
      </c>
      <c r="BH76" s="833">
        <f t="shared" si="34"/>
        <v>17068.467821265294</v>
      </c>
      <c r="BK76" s="818"/>
      <c r="BL76" s="907">
        <f t="shared" si="75"/>
        <v>46082</v>
      </c>
      <c r="BM76" s="908">
        <f t="shared" si="35"/>
        <v>29</v>
      </c>
      <c r="BN76" s="909"/>
      <c r="BO76" s="907">
        <f t="shared" si="36"/>
        <v>46147</v>
      </c>
      <c r="BP76" s="914">
        <f t="shared" si="72"/>
        <v>31</v>
      </c>
      <c r="BQ76" s="818"/>
      <c r="BR76" s="818"/>
      <c r="BS76" s="818"/>
      <c r="BT76" s="818"/>
      <c r="BU76" s="818"/>
      <c r="BV76" s="818"/>
      <c r="BW76" s="818"/>
      <c r="BX76" s="818"/>
      <c r="BY76" s="818"/>
      <c r="BZ76" s="818"/>
      <c r="CA76" s="969" t="s">
        <v>262</v>
      </c>
      <c r="CB76" s="812" t="s">
        <v>262</v>
      </c>
      <c r="CC76" s="832" t="b">
        <f t="shared" si="38"/>
        <v>1</v>
      </c>
      <c r="CD76" s="717" t="s">
        <v>262</v>
      </c>
      <c r="CE76" s="949" t="b">
        <f t="shared" si="39"/>
        <v>1</v>
      </c>
      <c r="CG76" s="842"/>
      <c r="CH76" s="878"/>
      <c r="ED76" s="947"/>
      <c r="EF76" s="947"/>
      <c r="EG76" s="947"/>
      <c r="EH76" s="947"/>
      <c r="EI76" s="947"/>
      <c r="EJ76" s="947"/>
      <c r="EK76" s="947"/>
      <c r="EL76" s="947"/>
      <c r="EW76" s="840"/>
      <c r="EX76" s="938">
        <f t="shared" ref="EX76:EX107" si="77">AW76</f>
        <v>1014107.8246875</v>
      </c>
      <c r="EY76" s="942">
        <f t="shared" ref="EY76:EY107" si="78">AX76</f>
        <v>0.15</v>
      </c>
      <c r="EZ76" s="938">
        <f t="shared" ref="EZ76:EZ107" si="79">AY76</f>
        <v>152116.17370312501</v>
      </c>
      <c r="FA76" s="938">
        <f t="shared" ref="FA76:FA107" si="80">AZ76</f>
        <v>10000</v>
      </c>
      <c r="FB76" s="938">
        <f t="shared" ref="FB76:FB107" si="81">BA76</f>
        <v>142116.17370312501</v>
      </c>
      <c r="FC76" s="813">
        <f t="shared" si="73"/>
        <v>48</v>
      </c>
      <c r="FD76" s="814">
        <f t="shared" si="41"/>
        <v>2960.7536188151043</v>
      </c>
      <c r="FE76" s="942">
        <f t="shared" si="42"/>
        <v>0.85</v>
      </c>
      <c r="FF76" s="938">
        <f t="shared" si="43"/>
        <v>861991.65098437504</v>
      </c>
      <c r="FG76" s="940">
        <f t="shared" si="44"/>
        <v>7747.8246514351467</v>
      </c>
      <c r="FH76" s="940">
        <f t="shared" si="45"/>
        <v>10008.453969494676</v>
      </c>
      <c r="FI76" s="940">
        <f t="shared" si="46"/>
        <v>17068.467821265294</v>
      </c>
      <c r="FJ76" s="840"/>
      <c r="FK76" s="938">
        <f t="shared" si="70"/>
        <v>-1623.6390812857026</v>
      </c>
      <c r="FN76" s="957"/>
      <c r="FO76" s="957"/>
      <c r="FP76" s="957"/>
      <c r="FU76" s="957"/>
      <c r="FV76" s="957"/>
    </row>
    <row r="77" spans="1:178" s="717" customFormat="1" ht="14.5" hidden="1" x14ac:dyDescent="0.35">
      <c r="A77" s="813">
        <f t="shared" si="47"/>
        <v>66</v>
      </c>
      <c r="B77" s="813"/>
      <c r="C77" s="813" t="s">
        <v>378</v>
      </c>
      <c r="D77" s="813">
        <f t="shared" si="74"/>
        <v>13</v>
      </c>
      <c r="E77" s="813" t="s">
        <v>374</v>
      </c>
      <c r="F77" s="575" t="s">
        <v>539</v>
      </c>
      <c r="G77" s="575" t="s">
        <v>375</v>
      </c>
      <c r="H77" s="828">
        <v>12.5</v>
      </c>
      <c r="I77" s="814">
        <v>52000</v>
      </c>
      <c r="J77" s="815">
        <f t="shared" ref="J77:J113" si="82">H77*I77</f>
        <v>650000</v>
      </c>
      <c r="K77" s="815">
        <v>40000</v>
      </c>
      <c r="L77" s="815">
        <v>50000</v>
      </c>
      <c r="M77" s="815"/>
      <c r="N77" s="815">
        <f t="shared" ref="N77:N113" si="83">SUM(J77:M77)</f>
        <v>740000</v>
      </c>
      <c r="O77" s="815">
        <f t="shared" ref="O77:O113" si="84">N77*$O$10</f>
        <v>18500</v>
      </c>
      <c r="P77" s="815">
        <f t="shared" ref="P77:P113" si="85">N77+O77</f>
        <v>758500</v>
      </c>
      <c r="Q77" s="948">
        <f t="shared" ref="Q77:Q113" si="86">$Q$10</f>
        <v>1.2500000000000001E-2</v>
      </c>
      <c r="R77" s="815">
        <f t="shared" ref="R77:R113" si="87">P77*Q77</f>
        <v>9481.25</v>
      </c>
      <c r="S77" s="955" t="s">
        <v>450</v>
      </c>
      <c r="T77" s="955">
        <f t="shared" ref="T77:T112" si="88">P77+R77+S77</f>
        <v>767981.25</v>
      </c>
      <c r="U77" s="955"/>
      <c r="V77" s="955">
        <f t="shared" ref="V77:V112" si="89">T77*$V$10</f>
        <v>28799.296875</v>
      </c>
      <c r="W77" s="955">
        <f t="shared" ref="W77:W112" si="90">T77+U77+V77</f>
        <v>796780.546875</v>
      </c>
      <c r="X77" s="955"/>
      <c r="Y77" s="955">
        <f t="shared" ref="Y77:Y113" si="91">W77+X77</f>
        <v>796780.546875</v>
      </c>
      <c r="Z77" s="955"/>
      <c r="AA77" s="955">
        <f t="shared" ref="AA77:AA113" si="92">Y77+Z77</f>
        <v>796780.546875</v>
      </c>
      <c r="AB77" s="955"/>
      <c r="AC77" s="955">
        <f t="shared" ref="AC77:AC113" si="93">AA77+AB77</f>
        <v>796780.546875</v>
      </c>
      <c r="AD77" s="955"/>
      <c r="AE77" s="955">
        <f t="shared" ref="AE77:AE113" si="94">AC77+AD77</f>
        <v>796780.546875</v>
      </c>
      <c r="AF77" s="955"/>
      <c r="AG77" s="955">
        <f t="shared" ref="AG77:AG113" si="95">AE77+AF77</f>
        <v>796780.546875</v>
      </c>
      <c r="AH77" s="955"/>
      <c r="AI77" s="955">
        <f t="shared" ref="AI77:AI113" si="96">AG77+AH77</f>
        <v>796780.546875</v>
      </c>
      <c r="AJ77" s="955"/>
      <c r="AK77" s="955">
        <f t="shared" ref="AK77:AK113" si="97">SUM(AI77:AJ77)</f>
        <v>796780.546875</v>
      </c>
      <c r="AL77" s="955"/>
      <c r="AM77" s="955">
        <f t="shared" ref="AM77:AM113" si="98">SUM(AK77:AL77)</f>
        <v>796780.546875</v>
      </c>
      <c r="AN77" s="955"/>
      <c r="AO77" s="955">
        <f t="shared" ref="AO77:AO113" si="99">AM77+AN77</f>
        <v>796780.546875</v>
      </c>
      <c r="AP77" s="955"/>
      <c r="AQ77" s="1000">
        <f t="shared" ref="AQ77:AQ113" si="100">AO77+AP77</f>
        <v>796780.546875</v>
      </c>
      <c r="AR77" s="955"/>
      <c r="AS77" s="1000">
        <f t="shared" ref="AS77:AS113" si="101">AQ77+AR77</f>
        <v>796780.546875</v>
      </c>
      <c r="AT77" s="815">
        <f t="shared" ref="AT77:AT113" si="102">AS77</f>
        <v>796780.546875</v>
      </c>
      <c r="AU77" s="815">
        <f t="shared" ref="AU77:AU112" si="103">AT77*$AU$10</f>
        <v>95613.665624999994</v>
      </c>
      <c r="AV77" s="815">
        <f t="shared" ref="AV77:AV112" si="104">AT77*$AV$10</f>
        <v>79678.0546875</v>
      </c>
      <c r="AW77" s="815">
        <f t="shared" ref="AW77:AW112" si="105">SUM(AT77:AV77)</f>
        <v>972072.26718750002</v>
      </c>
      <c r="AX77" s="816">
        <v>0.15</v>
      </c>
      <c r="AY77" s="815">
        <f t="shared" si="49"/>
        <v>145810.84007812501</v>
      </c>
      <c r="AZ77" s="815">
        <v>10000</v>
      </c>
      <c r="BA77" s="815">
        <f t="shared" si="50"/>
        <v>135810.84007812501</v>
      </c>
      <c r="BB77" s="825">
        <f t="shared" si="71"/>
        <v>31</v>
      </c>
      <c r="BC77" s="814">
        <f t="shared" si="51"/>
        <v>4380.994841229839</v>
      </c>
      <c r="BD77" s="817">
        <f t="shared" ref="BD77:BD102" si="106">100%-AX77</f>
        <v>0.85</v>
      </c>
      <c r="BE77" s="815">
        <f t="shared" si="52"/>
        <v>826261.42710937501</v>
      </c>
      <c r="BF77" s="833">
        <f t="shared" ref="BF77:BF113" si="107">-PMT($BF$10/12,180,BE77,0)</f>
        <v>7426.6712980077818</v>
      </c>
      <c r="BG77" s="833">
        <f t="shared" ref="BG77:BG113" si="108">-PMT($BF$10/12,120,BE77,0)</f>
        <v>9593.5957738679535</v>
      </c>
      <c r="BH77" s="833">
        <f t="shared" ref="BH77:BH113" si="109">-PMT($BF$10/12,60,BE77,0)</f>
        <v>16360.966564425282</v>
      </c>
      <c r="BK77" s="818"/>
      <c r="BL77" s="907">
        <f t="shared" si="75"/>
        <v>46082</v>
      </c>
      <c r="BM77" s="908">
        <f t="shared" ref="BM77:BM113" si="110">(YEAR(BL77)-YEAR($BM$10))*12+MONTH(BL77)-MONTH($BM$10)</f>
        <v>29</v>
      </c>
      <c r="BN77" s="909"/>
      <c r="BO77" s="907">
        <f t="shared" ref="BO77:BO113" si="111">BL77+65</f>
        <v>46147</v>
      </c>
      <c r="BP77" s="914">
        <f t="shared" si="72"/>
        <v>31</v>
      </c>
      <c r="BQ77" s="818"/>
      <c r="BR77" s="818"/>
      <c r="BS77" s="818"/>
      <c r="BT77" s="818"/>
      <c r="BU77" s="818"/>
      <c r="BV77" s="818"/>
      <c r="BW77" s="818"/>
      <c r="BX77" s="818"/>
      <c r="BY77" s="818"/>
      <c r="BZ77" s="818"/>
      <c r="CA77" s="969" t="s">
        <v>262</v>
      </c>
      <c r="CB77" s="812" t="s">
        <v>262</v>
      </c>
      <c r="CC77" s="832" t="b">
        <f t="shared" ref="CC77:CC113" si="112">CA77=CB77</f>
        <v>1</v>
      </c>
      <c r="CD77" s="717" t="s">
        <v>262</v>
      </c>
      <c r="CE77" s="949" t="b">
        <f t="shared" ref="CE77:CE113" si="113">CA77=CD77</f>
        <v>1</v>
      </c>
      <c r="CG77" s="842"/>
      <c r="CH77" s="878"/>
      <c r="ED77" s="947"/>
      <c r="EF77" s="947"/>
      <c r="EG77" s="947"/>
      <c r="EH77" s="947"/>
      <c r="EI77" s="947"/>
      <c r="EJ77" s="947"/>
      <c r="EK77" s="947"/>
      <c r="EL77" s="947"/>
      <c r="EW77" s="840"/>
      <c r="EX77" s="938">
        <f t="shared" si="77"/>
        <v>972072.26718750002</v>
      </c>
      <c r="EY77" s="942">
        <f t="shared" si="78"/>
        <v>0.15</v>
      </c>
      <c r="EZ77" s="938">
        <f t="shared" si="79"/>
        <v>145810.84007812501</v>
      </c>
      <c r="FA77" s="938">
        <f t="shared" si="80"/>
        <v>10000</v>
      </c>
      <c r="FB77" s="938">
        <f t="shared" si="81"/>
        <v>135810.84007812501</v>
      </c>
      <c r="FC77" s="813">
        <f t="shared" si="73"/>
        <v>48</v>
      </c>
      <c r="FD77" s="814">
        <f t="shared" ref="FD77:FD113" si="114">FB77/FC77</f>
        <v>2829.3925016276044</v>
      </c>
      <c r="FE77" s="942">
        <f t="shared" ref="FE77:FE113" si="115">100%-EY77</f>
        <v>0.85</v>
      </c>
      <c r="FF77" s="938">
        <f t="shared" ref="FF77:FF113" si="116">EX77*FE77</f>
        <v>826261.42710937501</v>
      </c>
      <c r="FG77" s="940">
        <f t="shared" ref="FG77:FG113" si="117">-PMT(7%/12,180,FF77,0)</f>
        <v>7426.6712980077818</v>
      </c>
      <c r="FH77" s="940">
        <f t="shared" ref="FH77:FH113" si="118">-PMT(7%/12,120,FF77,0)</f>
        <v>9593.5957738679535</v>
      </c>
      <c r="FI77" s="940">
        <f t="shared" ref="FI77:FI113" si="119">-PMT(7%/12,60,FF77,0)</f>
        <v>16360.966564425282</v>
      </c>
      <c r="FJ77" s="840"/>
      <c r="FK77" s="938">
        <f t="shared" si="70"/>
        <v>-1551.6023396022347</v>
      </c>
      <c r="FN77" s="957"/>
      <c r="FO77" s="957"/>
      <c r="FP77" s="957"/>
      <c r="FU77" s="957"/>
      <c r="FV77" s="957"/>
    </row>
    <row r="78" spans="1:178" s="717" customFormat="1" ht="14.5" hidden="1" x14ac:dyDescent="0.35">
      <c r="A78" s="1052">
        <f t="shared" ref="A78:A112" si="120">A77+1</f>
        <v>67</v>
      </c>
      <c r="B78" s="813"/>
      <c r="C78" s="1052" t="s">
        <v>378</v>
      </c>
      <c r="D78" s="813">
        <f t="shared" si="74"/>
        <v>14</v>
      </c>
      <c r="E78" s="1052" t="s">
        <v>374</v>
      </c>
      <c r="F78" s="1053" t="s">
        <v>540</v>
      </c>
      <c r="G78" s="1053" t="s">
        <v>375</v>
      </c>
      <c r="H78" s="1053">
        <v>13.5</v>
      </c>
      <c r="I78" s="1054">
        <v>52000</v>
      </c>
      <c r="J78" s="950">
        <f t="shared" si="82"/>
        <v>702000</v>
      </c>
      <c r="K78" s="950">
        <v>40000</v>
      </c>
      <c r="L78" s="950">
        <v>50000</v>
      </c>
      <c r="M78" s="950"/>
      <c r="N78" s="950">
        <f t="shared" si="83"/>
        <v>792000</v>
      </c>
      <c r="O78" s="950">
        <f t="shared" si="84"/>
        <v>19800</v>
      </c>
      <c r="P78" s="950">
        <f t="shared" si="85"/>
        <v>811800</v>
      </c>
      <c r="Q78" s="1056">
        <f t="shared" si="86"/>
        <v>1.2500000000000001E-2</v>
      </c>
      <c r="R78" s="950">
        <f t="shared" si="87"/>
        <v>10147.5</v>
      </c>
      <c r="S78" s="1057" t="s">
        <v>450</v>
      </c>
      <c r="T78" s="1057">
        <f t="shared" si="88"/>
        <v>821947.5</v>
      </c>
      <c r="U78" s="1057"/>
      <c r="V78" s="1057">
        <f t="shared" si="89"/>
        <v>30823.03125</v>
      </c>
      <c r="W78" s="1057">
        <f t="shared" si="90"/>
        <v>852770.53125</v>
      </c>
      <c r="X78" s="1057"/>
      <c r="Y78" s="1057">
        <f t="shared" si="91"/>
        <v>852770.53125</v>
      </c>
      <c r="Z78" s="1057"/>
      <c r="AA78" s="1057">
        <f t="shared" si="92"/>
        <v>852770.53125</v>
      </c>
      <c r="AB78" s="1057"/>
      <c r="AC78" s="1057">
        <f t="shared" si="93"/>
        <v>852770.53125</v>
      </c>
      <c r="AD78" s="1057"/>
      <c r="AE78" s="1057">
        <f t="shared" si="94"/>
        <v>852770.53125</v>
      </c>
      <c r="AF78" s="1057"/>
      <c r="AG78" s="1057">
        <f t="shared" si="95"/>
        <v>852770.53125</v>
      </c>
      <c r="AH78" s="1057"/>
      <c r="AI78" s="1057">
        <f t="shared" si="96"/>
        <v>852770.53125</v>
      </c>
      <c r="AJ78" s="1057"/>
      <c r="AK78" s="1057">
        <f t="shared" si="97"/>
        <v>852770.53125</v>
      </c>
      <c r="AL78" s="1057"/>
      <c r="AM78" s="1057">
        <f t="shared" si="98"/>
        <v>852770.53125</v>
      </c>
      <c r="AN78" s="1057"/>
      <c r="AO78" s="1057">
        <f t="shared" si="99"/>
        <v>852770.53125</v>
      </c>
      <c r="AP78" s="1057"/>
      <c r="AQ78" s="1000">
        <f t="shared" si="100"/>
        <v>852770.53125</v>
      </c>
      <c r="AR78" s="1057"/>
      <c r="AS78" s="1000">
        <f t="shared" si="101"/>
        <v>852770.53125</v>
      </c>
      <c r="AT78" s="950">
        <f t="shared" si="102"/>
        <v>852770.53125</v>
      </c>
      <c r="AU78" s="950">
        <f t="shared" si="103"/>
        <v>102332.46375</v>
      </c>
      <c r="AV78" s="950">
        <f t="shared" si="104"/>
        <v>85277.053125000006</v>
      </c>
      <c r="AW78" s="950">
        <f t="shared" si="105"/>
        <v>1040380.048125</v>
      </c>
      <c r="AX78" s="1058">
        <v>0.15</v>
      </c>
      <c r="AY78" s="950">
        <f t="shared" ref="AY78:AY102" si="121">AW78*AX78</f>
        <v>156057.00721874999</v>
      </c>
      <c r="AZ78" s="950">
        <v>10000</v>
      </c>
      <c r="BA78" s="950">
        <f t="shared" ref="BA78:BA102" si="122">AY78-AZ78</f>
        <v>146057.00721874999</v>
      </c>
      <c r="BB78" s="1055">
        <f t="shared" si="71"/>
        <v>31</v>
      </c>
      <c r="BC78" s="1054">
        <f t="shared" ref="BC78:BC102" si="123">(AY78-AZ78)/BB78</f>
        <v>4711.516361895161</v>
      </c>
      <c r="BD78" s="1059">
        <f t="shared" si="106"/>
        <v>0.85</v>
      </c>
      <c r="BE78" s="950">
        <f t="shared" ref="BE78:BE102" si="124">AW78*BD78</f>
        <v>884323.04090625001</v>
      </c>
      <c r="BF78" s="1060">
        <f t="shared" si="107"/>
        <v>7948.5454973272472</v>
      </c>
      <c r="BG78" s="1060">
        <f t="shared" si="108"/>
        <v>10267.740341761377</v>
      </c>
      <c r="BH78" s="1060">
        <f t="shared" si="109"/>
        <v>17510.656106790302</v>
      </c>
      <c r="BK78" s="818"/>
      <c r="BL78" s="907">
        <f t="shared" si="75"/>
        <v>46082</v>
      </c>
      <c r="BM78" s="908">
        <f t="shared" si="110"/>
        <v>29</v>
      </c>
      <c r="BN78" s="909"/>
      <c r="BO78" s="907">
        <f t="shared" si="111"/>
        <v>46147</v>
      </c>
      <c r="BP78" s="914">
        <f t="shared" si="72"/>
        <v>31</v>
      </c>
      <c r="BQ78" s="818"/>
      <c r="BR78" s="818"/>
      <c r="BS78" s="818"/>
      <c r="BT78" s="818"/>
      <c r="BU78" s="818"/>
      <c r="BV78" s="818"/>
      <c r="BW78" s="818"/>
      <c r="BX78" s="818"/>
      <c r="BY78" s="818"/>
      <c r="BZ78" s="818"/>
      <c r="CA78" s="969" t="s">
        <v>262</v>
      </c>
      <c r="CB78" s="812" t="s">
        <v>262</v>
      </c>
      <c r="CC78" s="832" t="b">
        <f t="shared" si="112"/>
        <v>1</v>
      </c>
      <c r="CD78" s="717" t="s">
        <v>262</v>
      </c>
      <c r="CE78" s="949" t="b">
        <f t="shared" si="113"/>
        <v>1</v>
      </c>
      <c r="CG78" s="842"/>
      <c r="CH78" s="878"/>
      <c r="ED78" s="947"/>
      <c r="EF78" s="947"/>
      <c r="EG78" s="947"/>
      <c r="EH78" s="947"/>
      <c r="EI78" s="947"/>
      <c r="EJ78" s="947"/>
      <c r="EK78" s="947"/>
      <c r="EL78" s="947"/>
      <c r="EW78" s="840"/>
      <c r="EX78" s="938">
        <f t="shared" si="77"/>
        <v>1040380.048125</v>
      </c>
      <c r="EY78" s="942">
        <f t="shared" si="78"/>
        <v>0.15</v>
      </c>
      <c r="EZ78" s="938">
        <f t="shared" si="79"/>
        <v>156057.00721874999</v>
      </c>
      <c r="FA78" s="938">
        <f t="shared" si="80"/>
        <v>10000</v>
      </c>
      <c r="FB78" s="938">
        <f t="shared" si="81"/>
        <v>146057.00721874999</v>
      </c>
      <c r="FC78" s="813">
        <f t="shared" si="73"/>
        <v>48</v>
      </c>
      <c r="FD78" s="814">
        <f t="shared" si="114"/>
        <v>3042.8543170572916</v>
      </c>
      <c r="FE78" s="942">
        <f t="shared" si="115"/>
        <v>0.85</v>
      </c>
      <c r="FF78" s="938">
        <f t="shared" si="116"/>
        <v>884323.04090625001</v>
      </c>
      <c r="FG78" s="940">
        <f t="shared" si="117"/>
        <v>7948.5454973272472</v>
      </c>
      <c r="FH78" s="940">
        <f t="shared" si="118"/>
        <v>10267.740341761377</v>
      </c>
      <c r="FI78" s="940">
        <f t="shared" si="119"/>
        <v>17510.656106790302</v>
      </c>
      <c r="FJ78" s="840"/>
      <c r="FK78" s="938">
        <f t="shared" si="70"/>
        <v>-1668.6620448378694</v>
      </c>
      <c r="FN78" s="957"/>
      <c r="FO78" s="957"/>
      <c r="FP78" s="957"/>
      <c r="FU78" s="957"/>
      <c r="FV78" s="957"/>
    </row>
    <row r="79" spans="1:178" s="717" customFormat="1" ht="14.5" x14ac:dyDescent="0.35">
      <c r="A79" s="813">
        <f t="shared" si="120"/>
        <v>68</v>
      </c>
      <c r="B79" s="813"/>
      <c r="C79" s="813" t="s">
        <v>378</v>
      </c>
      <c r="D79" s="813">
        <f t="shared" si="74"/>
        <v>15</v>
      </c>
      <c r="E79" s="813" t="s">
        <v>374</v>
      </c>
      <c r="F79" s="575" t="s">
        <v>541</v>
      </c>
      <c r="G79" s="575" t="s">
        <v>377</v>
      </c>
      <c r="H79" s="575">
        <v>13.5</v>
      </c>
      <c r="I79" s="814">
        <v>52000</v>
      </c>
      <c r="J79" s="815">
        <f t="shared" si="82"/>
        <v>702000</v>
      </c>
      <c r="K79" s="815">
        <v>40000</v>
      </c>
      <c r="L79" s="815"/>
      <c r="M79" s="815"/>
      <c r="N79" s="815">
        <f t="shared" si="83"/>
        <v>742000</v>
      </c>
      <c r="O79" s="815">
        <f t="shared" si="84"/>
        <v>18550</v>
      </c>
      <c r="P79" s="815">
        <f t="shared" si="85"/>
        <v>760550</v>
      </c>
      <c r="Q79" s="948">
        <f t="shared" si="86"/>
        <v>1.2500000000000001E-2</v>
      </c>
      <c r="R79" s="815">
        <f t="shared" si="87"/>
        <v>9506.875</v>
      </c>
      <c r="S79" s="955">
        <v>0</v>
      </c>
      <c r="T79" s="955">
        <f t="shared" si="88"/>
        <v>770056.875</v>
      </c>
      <c r="U79" s="955"/>
      <c r="V79" s="955">
        <f t="shared" si="89"/>
        <v>28877.1328125</v>
      </c>
      <c r="W79" s="955">
        <f t="shared" si="90"/>
        <v>798934.0078125</v>
      </c>
      <c r="X79" s="955"/>
      <c r="Y79" s="955">
        <f t="shared" si="91"/>
        <v>798934.0078125</v>
      </c>
      <c r="Z79" s="955"/>
      <c r="AA79" s="955">
        <f t="shared" si="92"/>
        <v>798934.0078125</v>
      </c>
      <c r="AB79" s="955"/>
      <c r="AC79" s="955">
        <f t="shared" si="93"/>
        <v>798934.0078125</v>
      </c>
      <c r="AD79" s="955"/>
      <c r="AE79" s="955">
        <f t="shared" si="94"/>
        <v>798934.0078125</v>
      </c>
      <c r="AF79" s="955"/>
      <c r="AG79" s="955">
        <f t="shared" si="95"/>
        <v>798934.0078125</v>
      </c>
      <c r="AH79" s="955"/>
      <c r="AI79" s="955">
        <f t="shared" si="96"/>
        <v>798934.0078125</v>
      </c>
      <c r="AJ79" s="955"/>
      <c r="AK79" s="955">
        <f t="shared" si="97"/>
        <v>798934.0078125</v>
      </c>
      <c r="AL79" s="955"/>
      <c r="AM79" s="955">
        <f t="shared" si="98"/>
        <v>798934.0078125</v>
      </c>
      <c r="AN79" s="955">
        <f t="shared" ref="AN79:AN83" si="125">$AN$10/10</f>
        <v>1738.8761600000003</v>
      </c>
      <c r="AO79" s="1000">
        <f t="shared" si="99"/>
        <v>800672.88397249999</v>
      </c>
      <c r="AP79" s="1000"/>
      <c r="AQ79" s="1000">
        <f t="shared" si="100"/>
        <v>800672.88397249999</v>
      </c>
      <c r="AR79" s="1000"/>
      <c r="AS79" s="1000">
        <f t="shared" si="101"/>
        <v>800672.88397249999</v>
      </c>
      <c r="AT79" s="815">
        <f t="shared" si="102"/>
        <v>800672.88397249999</v>
      </c>
      <c r="AU79" s="815">
        <f t="shared" si="103"/>
        <v>96080.746076700001</v>
      </c>
      <c r="AV79" s="815">
        <f t="shared" si="104"/>
        <v>80067.288397249999</v>
      </c>
      <c r="AW79" s="815">
        <f t="shared" si="105"/>
        <v>976820.91844645003</v>
      </c>
      <c r="AX79" s="816">
        <v>0.15</v>
      </c>
      <c r="AY79" s="815">
        <f t="shared" si="121"/>
        <v>146523.1377669675</v>
      </c>
      <c r="AZ79" s="815">
        <v>10000</v>
      </c>
      <c r="BA79" s="815">
        <f t="shared" si="122"/>
        <v>136523.1377669675</v>
      </c>
      <c r="BB79" s="815">
        <f t="shared" si="71"/>
        <v>31</v>
      </c>
      <c r="BC79" s="814">
        <f t="shared" si="123"/>
        <v>4403.9721860312093</v>
      </c>
      <c r="BD79" s="817">
        <f t="shared" si="106"/>
        <v>0.85</v>
      </c>
      <c r="BE79" s="815">
        <f t="shared" si="124"/>
        <v>830297.7806794825</v>
      </c>
      <c r="BF79" s="833">
        <f t="shared" si="107"/>
        <v>7462.9511850074696</v>
      </c>
      <c r="BG79" s="833">
        <f t="shared" si="108"/>
        <v>9640.4612613293375</v>
      </c>
      <c r="BH79" s="833">
        <f t="shared" si="109"/>
        <v>16440.891202846029</v>
      </c>
      <c r="BK79" s="818"/>
      <c r="BL79" s="907">
        <f t="shared" si="75"/>
        <v>46082</v>
      </c>
      <c r="BM79" s="908">
        <f t="shared" si="110"/>
        <v>29</v>
      </c>
      <c r="BN79" s="909"/>
      <c r="BO79" s="907">
        <f t="shared" si="111"/>
        <v>46147</v>
      </c>
      <c r="BP79" s="914">
        <f t="shared" si="72"/>
        <v>31</v>
      </c>
      <c r="BQ79" s="818"/>
      <c r="BR79" s="818"/>
      <c r="BS79" s="818"/>
      <c r="BT79" s="818"/>
      <c r="BU79" s="818"/>
      <c r="BV79" s="818"/>
      <c r="BW79" s="818"/>
      <c r="BX79" s="818"/>
      <c r="BY79" s="818"/>
      <c r="BZ79" s="818"/>
      <c r="CA79" s="969" t="s">
        <v>263</v>
      </c>
      <c r="CB79" s="812" t="s">
        <v>263</v>
      </c>
      <c r="CC79" s="832" t="b">
        <f t="shared" si="112"/>
        <v>1</v>
      </c>
      <c r="CD79" s="717" t="s">
        <v>263</v>
      </c>
      <c r="CE79" s="949" t="b">
        <f t="shared" si="113"/>
        <v>1</v>
      </c>
      <c r="CG79" s="842"/>
      <c r="CH79" s="878"/>
      <c r="ED79" s="947"/>
      <c r="EF79" s="947"/>
      <c r="EG79" s="947"/>
      <c r="EH79" s="947"/>
      <c r="EI79" s="947"/>
      <c r="EJ79" s="947"/>
      <c r="EK79" s="947"/>
      <c r="EL79" s="947"/>
      <c r="EW79" s="840"/>
      <c r="EX79" s="938">
        <f t="shared" si="77"/>
        <v>976820.91844645003</v>
      </c>
      <c r="EY79" s="942">
        <f t="shared" si="78"/>
        <v>0.15</v>
      </c>
      <c r="EZ79" s="938">
        <f t="shared" si="79"/>
        <v>146523.1377669675</v>
      </c>
      <c r="FA79" s="938">
        <f t="shared" si="80"/>
        <v>10000</v>
      </c>
      <c r="FB79" s="938">
        <f t="shared" si="81"/>
        <v>136523.1377669675</v>
      </c>
      <c r="FC79" s="813">
        <f t="shared" si="73"/>
        <v>48</v>
      </c>
      <c r="FD79" s="814">
        <f t="shared" si="114"/>
        <v>2844.232036811823</v>
      </c>
      <c r="FE79" s="942">
        <f t="shared" si="115"/>
        <v>0.85</v>
      </c>
      <c r="FF79" s="938">
        <f t="shared" si="116"/>
        <v>830297.7806794825</v>
      </c>
      <c r="FG79" s="940">
        <f t="shared" si="117"/>
        <v>7462.9511850074696</v>
      </c>
      <c r="FH79" s="940">
        <f t="shared" si="118"/>
        <v>9640.4612613293375</v>
      </c>
      <c r="FI79" s="940">
        <f t="shared" si="119"/>
        <v>16440.891202846029</v>
      </c>
      <c r="FJ79" s="840"/>
      <c r="FK79" s="938">
        <f t="shared" ref="FK79:FK113" si="126">FD79-BC79</f>
        <v>-1559.7401492193862</v>
      </c>
      <c r="FN79" s="957"/>
      <c r="FO79" s="957"/>
      <c r="FP79" s="957"/>
      <c r="FU79" s="957"/>
      <c r="FV79" s="957"/>
    </row>
    <row r="80" spans="1:178" s="717" customFormat="1" ht="14.5" x14ac:dyDescent="0.35">
      <c r="A80" s="813">
        <f t="shared" si="120"/>
        <v>69</v>
      </c>
      <c r="B80" s="813"/>
      <c r="C80" s="813" t="s">
        <v>378</v>
      </c>
      <c r="D80" s="813">
        <f t="shared" si="74"/>
        <v>16</v>
      </c>
      <c r="E80" s="813" t="s">
        <v>374</v>
      </c>
      <c r="F80" s="575" t="s">
        <v>542</v>
      </c>
      <c r="G80" s="575" t="s">
        <v>377</v>
      </c>
      <c r="H80" s="575">
        <v>13.5</v>
      </c>
      <c r="I80" s="814">
        <v>52000</v>
      </c>
      <c r="J80" s="815">
        <f t="shared" si="82"/>
        <v>702000</v>
      </c>
      <c r="K80" s="815">
        <v>40000</v>
      </c>
      <c r="L80" s="815"/>
      <c r="M80" s="815"/>
      <c r="N80" s="815">
        <f t="shared" si="83"/>
        <v>742000</v>
      </c>
      <c r="O80" s="815">
        <f t="shared" si="84"/>
        <v>18550</v>
      </c>
      <c r="P80" s="815">
        <f t="shared" si="85"/>
        <v>760550</v>
      </c>
      <c r="Q80" s="948">
        <f t="shared" si="86"/>
        <v>1.2500000000000001E-2</v>
      </c>
      <c r="R80" s="815">
        <f t="shared" si="87"/>
        <v>9506.875</v>
      </c>
      <c r="S80" s="955">
        <v>0</v>
      </c>
      <c r="T80" s="955">
        <f t="shared" si="88"/>
        <v>770056.875</v>
      </c>
      <c r="U80" s="955"/>
      <c r="V80" s="955">
        <f t="shared" si="89"/>
        <v>28877.1328125</v>
      </c>
      <c r="W80" s="955">
        <f t="shared" si="90"/>
        <v>798934.0078125</v>
      </c>
      <c r="X80" s="955"/>
      <c r="Y80" s="955">
        <f t="shared" si="91"/>
        <v>798934.0078125</v>
      </c>
      <c r="Z80" s="955"/>
      <c r="AA80" s="955">
        <f t="shared" si="92"/>
        <v>798934.0078125</v>
      </c>
      <c r="AB80" s="955"/>
      <c r="AC80" s="955">
        <f t="shared" si="93"/>
        <v>798934.0078125</v>
      </c>
      <c r="AD80" s="955"/>
      <c r="AE80" s="955">
        <f t="shared" si="94"/>
        <v>798934.0078125</v>
      </c>
      <c r="AF80" s="955"/>
      <c r="AG80" s="955">
        <f t="shared" si="95"/>
        <v>798934.0078125</v>
      </c>
      <c r="AH80" s="955"/>
      <c r="AI80" s="955">
        <f t="shared" si="96"/>
        <v>798934.0078125</v>
      </c>
      <c r="AJ80" s="955"/>
      <c r="AK80" s="955">
        <f t="shared" si="97"/>
        <v>798934.0078125</v>
      </c>
      <c r="AL80" s="955"/>
      <c r="AM80" s="955">
        <f t="shared" si="98"/>
        <v>798934.0078125</v>
      </c>
      <c r="AN80" s="955">
        <f t="shared" si="125"/>
        <v>1738.8761600000003</v>
      </c>
      <c r="AO80" s="1000">
        <f t="shared" si="99"/>
        <v>800672.88397249999</v>
      </c>
      <c r="AP80" s="1000"/>
      <c r="AQ80" s="1000">
        <f t="shared" si="100"/>
        <v>800672.88397249999</v>
      </c>
      <c r="AR80" s="1000"/>
      <c r="AS80" s="1000">
        <f t="shared" si="101"/>
        <v>800672.88397249999</v>
      </c>
      <c r="AT80" s="815">
        <f t="shared" si="102"/>
        <v>800672.88397249999</v>
      </c>
      <c r="AU80" s="815">
        <f t="shared" si="103"/>
        <v>96080.746076700001</v>
      </c>
      <c r="AV80" s="815">
        <f t="shared" si="104"/>
        <v>80067.288397249999</v>
      </c>
      <c r="AW80" s="815">
        <f t="shared" si="105"/>
        <v>976820.91844645003</v>
      </c>
      <c r="AX80" s="816">
        <v>0.15</v>
      </c>
      <c r="AY80" s="815">
        <f t="shared" si="121"/>
        <v>146523.1377669675</v>
      </c>
      <c r="AZ80" s="815">
        <v>10000</v>
      </c>
      <c r="BA80" s="815">
        <f t="shared" si="122"/>
        <v>136523.1377669675</v>
      </c>
      <c r="BB80" s="815">
        <f t="shared" si="71"/>
        <v>31</v>
      </c>
      <c r="BC80" s="814">
        <f t="shared" si="123"/>
        <v>4403.9721860312093</v>
      </c>
      <c r="BD80" s="817">
        <f t="shared" si="106"/>
        <v>0.85</v>
      </c>
      <c r="BE80" s="815">
        <f t="shared" si="124"/>
        <v>830297.7806794825</v>
      </c>
      <c r="BF80" s="833">
        <f t="shared" si="107"/>
        <v>7462.9511850074696</v>
      </c>
      <c r="BG80" s="833">
        <f t="shared" si="108"/>
        <v>9640.4612613293375</v>
      </c>
      <c r="BH80" s="833">
        <f t="shared" si="109"/>
        <v>16440.891202846029</v>
      </c>
      <c r="BK80" s="818"/>
      <c r="BL80" s="907">
        <f t="shared" si="75"/>
        <v>46082</v>
      </c>
      <c r="BM80" s="908">
        <f t="shared" si="110"/>
        <v>29</v>
      </c>
      <c r="BN80" s="909"/>
      <c r="BO80" s="907">
        <f t="shared" si="111"/>
        <v>46147</v>
      </c>
      <c r="BP80" s="914">
        <f t="shared" si="72"/>
        <v>31</v>
      </c>
      <c r="BQ80" s="818"/>
      <c r="BR80" s="818"/>
      <c r="BS80" s="818"/>
      <c r="BT80" s="818"/>
      <c r="BU80" s="818"/>
      <c r="BV80" s="818"/>
      <c r="BW80" s="818"/>
      <c r="BX80" s="818"/>
      <c r="BY80" s="818"/>
      <c r="BZ80" s="818"/>
      <c r="CA80" s="969" t="s">
        <v>263</v>
      </c>
      <c r="CB80" s="812" t="s">
        <v>263</v>
      </c>
      <c r="CC80" s="832" t="b">
        <f t="shared" si="112"/>
        <v>1</v>
      </c>
      <c r="CD80" s="717" t="s">
        <v>263</v>
      </c>
      <c r="CE80" s="949" t="b">
        <f t="shared" si="113"/>
        <v>1</v>
      </c>
      <c r="CG80" s="842"/>
      <c r="CH80" s="878"/>
      <c r="ED80" s="947"/>
      <c r="EF80" s="947"/>
      <c r="EG80" s="947"/>
      <c r="EH80" s="947"/>
      <c r="EI80" s="947"/>
      <c r="EJ80" s="947"/>
      <c r="EK80" s="947"/>
      <c r="EL80" s="947"/>
      <c r="EW80" s="840"/>
      <c r="EX80" s="938">
        <f t="shared" si="77"/>
        <v>976820.91844645003</v>
      </c>
      <c r="EY80" s="942">
        <f t="shared" si="78"/>
        <v>0.15</v>
      </c>
      <c r="EZ80" s="938">
        <f t="shared" si="79"/>
        <v>146523.1377669675</v>
      </c>
      <c r="FA80" s="938">
        <f t="shared" si="80"/>
        <v>10000</v>
      </c>
      <c r="FB80" s="938">
        <f t="shared" si="81"/>
        <v>136523.1377669675</v>
      </c>
      <c r="FC80" s="813">
        <f t="shared" si="73"/>
        <v>48</v>
      </c>
      <c r="FD80" s="814">
        <f t="shared" si="114"/>
        <v>2844.232036811823</v>
      </c>
      <c r="FE80" s="942">
        <f t="shared" si="115"/>
        <v>0.85</v>
      </c>
      <c r="FF80" s="938">
        <f t="shared" si="116"/>
        <v>830297.7806794825</v>
      </c>
      <c r="FG80" s="940">
        <f t="shared" si="117"/>
        <v>7462.9511850074696</v>
      </c>
      <c r="FH80" s="940">
        <f t="shared" si="118"/>
        <v>9640.4612613293375</v>
      </c>
      <c r="FI80" s="940">
        <f t="shared" si="119"/>
        <v>16440.891202846029</v>
      </c>
      <c r="FJ80" s="840"/>
      <c r="FK80" s="938">
        <f t="shared" si="126"/>
        <v>-1559.7401492193862</v>
      </c>
      <c r="FN80" s="957"/>
      <c r="FO80" s="957"/>
      <c r="FP80" s="957"/>
      <c r="FU80" s="957"/>
      <c r="FV80" s="957"/>
    </row>
    <row r="81" spans="1:178" s="717" customFormat="1" ht="14.5" x14ac:dyDescent="0.35">
      <c r="A81" s="813">
        <f t="shared" si="120"/>
        <v>70</v>
      </c>
      <c r="B81" s="813"/>
      <c r="C81" s="813" t="s">
        <v>378</v>
      </c>
      <c r="D81" s="813">
        <f t="shared" si="74"/>
        <v>17</v>
      </c>
      <c r="E81" s="813" t="s">
        <v>374</v>
      </c>
      <c r="F81" s="575" t="s">
        <v>543</v>
      </c>
      <c r="G81" s="575" t="s">
        <v>377</v>
      </c>
      <c r="H81" s="575">
        <v>13.5</v>
      </c>
      <c r="I81" s="814">
        <v>52000</v>
      </c>
      <c r="J81" s="815">
        <f t="shared" si="82"/>
        <v>702000</v>
      </c>
      <c r="K81" s="815">
        <v>40000</v>
      </c>
      <c r="L81" s="815"/>
      <c r="M81" s="815"/>
      <c r="N81" s="815">
        <f t="shared" si="83"/>
        <v>742000</v>
      </c>
      <c r="O81" s="815">
        <f t="shared" si="84"/>
        <v>18550</v>
      </c>
      <c r="P81" s="815">
        <f t="shared" si="85"/>
        <v>760550</v>
      </c>
      <c r="Q81" s="948">
        <f t="shared" si="86"/>
        <v>1.2500000000000001E-2</v>
      </c>
      <c r="R81" s="815">
        <f t="shared" si="87"/>
        <v>9506.875</v>
      </c>
      <c r="S81" s="955">
        <v>0</v>
      </c>
      <c r="T81" s="955">
        <f t="shared" si="88"/>
        <v>770056.875</v>
      </c>
      <c r="U81" s="955"/>
      <c r="V81" s="955">
        <f t="shared" si="89"/>
        <v>28877.1328125</v>
      </c>
      <c r="W81" s="955">
        <f t="shared" si="90"/>
        <v>798934.0078125</v>
      </c>
      <c r="X81" s="955"/>
      <c r="Y81" s="955">
        <f t="shared" si="91"/>
        <v>798934.0078125</v>
      </c>
      <c r="Z81" s="955"/>
      <c r="AA81" s="955">
        <f t="shared" si="92"/>
        <v>798934.0078125</v>
      </c>
      <c r="AB81" s="955"/>
      <c r="AC81" s="955">
        <f t="shared" si="93"/>
        <v>798934.0078125</v>
      </c>
      <c r="AD81" s="955"/>
      <c r="AE81" s="955">
        <f t="shared" si="94"/>
        <v>798934.0078125</v>
      </c>
      <c r="AF81" s="955"/>
      <c r="AG81" s="955">
        <f t="shared" si="95"/>
        <v>798934.0078125</v>
      </c>
      <c r="AH81" s="955"/>
      <c r="AI81" s="955">
        <f t="shared" si="96"/>
        <v>798934.0078125</v>
      </c>
      <c r="AJ81" s="955"/>
      <c r="AK81" s="955">
        <f t="shared" si="97"/>
        <v>798934.0078125</v>
      </c>
      <c r="AL81" s="955"/>
      <c r="AM81" s="955">
        <f t="shared" si="98"/>
        <v>798934.0078125</v>
      </c>
      <c r="AN81" s="955">
        <f t="shared" si="125"/>
        <v>1738.8761600000003</v>
      </c>
      <c r="AO81" s="1000">
        <f t="shared" si="99"/>
        <v>800672.88397249999</v>
      </c>
      <c r="AP81" s="1000"/>
      <c r="AQ81" s="1000">
        <f t="shared" si="100"/>
        <v>800672.88397249999</v>
      </c>
      <c r="AR81" s="1000"/>
      <c r="AS81" s="1000">
        <f t="shared" si="101"/>
        <v>800672.88397249999</v>
      </c>
      <c r="AT81" s="815">
        <f t="shared" si="102"/>
        <v>800672.88397249999</v>
      </c>
      <c r="AU81" s="815">
        <f t="shared" si="103"/>
        <v>96080.746076700001</v>
      </c>
      <c r="AV81" s="815">
        <f t="shared" si="104"/>
        <v>80067.288397249999</v>
      </c>
      <c r="AW81" s="815">
        <f t="shared" si="105"/>
        <v>976820.91844645003</v>
      </c>
      <c r="AX81" s="816">
        <v>0.15</v>
      </c>
      <c r="AY81" s="815">
        <f t="shared" si="121"/>
        <v>146523.1377669675</v>
      </c>
      <c r="AZ81" s="815">
        <v>10000</v>
      </c>
      <c r="BA81" s="815">
        <f t="shared" si="122"/>
        <v>136523.1377669675</v>
      </c>
      <c r="BB81" s="815">
        <f t="shared" si="71"/>
        <v>31</v>
      </c>
      <c r="BC81" s="814">
        <f t="shared" si="123"/>
        <v>4403.9721860312093</v>
      </c>
      <c r="BD81" s="817">
        <f t="shared" si="106"/>
        <v>0.85</v>
      </c>
      <c r="BE81" s="815">
        <f t="shared" si="124"/>
        <v>830297.7806794825</v>
      </c>
      <c r="BF81" s="833">
        <f t="shared" si="107"/>
        <v>7462.9511850074696</v>
      </c>
      <c r="BG81" s="833">
        <f t="shared" si="108"/>
        <v>9640.4612613293375</v>
      </c>
      <c r="BH81" s="833">
        <f t="shared" si="109"/>
        <v>16440.891202846029</v>
      </c>
      <c r="BK81" s="818"/>
      <c r="BL81" s="907">
        <f t="shared" si="75"/>
        <v>46082</v>
      </c>
      <c r="BM81" s="908">
        <f t="shared" si="110"/>
        <v>29</v>
      </c>
      <c r="BN81" s="909"/>
      <c r="BO81" s="907">
        <f t="shared" si="111"/>
        <v>46147</v>
      </c>
      <c r="BP81" s="914">
        <f t="shared" si="72"/>
        <v>31</v>
      </c>
      <c r="BQ81" s="818"/>
      <c r="BR81" s="818"/>
      <c r="BS81" s="818"/>
      <c r="BT81" s="818"/>
      <c r="BU81" s="818"/>
      <c r="BV81" s="818"/>
      <c r="BW81" s="818"/>
      <c r="BX81" s="818"/>
      <c r="BY81" s="818"/>
      <c r="BZ81" s="818"/>
      <c r="CA81" s="969" t="s">
        <v>263</v>
      </c>
      <c r="CB81" s="812" t="s">
        <v>263</v>
      </c>
      <c r="CC81" s="832" t="b">
        <f t="shared" si="112"/>
        <v>1</v>
      </c>
      <c r="CD81" s="717" t="s">
        <v>263</v>
      </c>
      <c r="CE81" s="949" t="b">
        <f t="shared" si="113"/>
        <v>1</v>
      </c>
      <c r="CG81" s="842"/>
      <c r="CH81" s="878"/>
      <c r="ED81" s="947"/>
      <c r="EF81" s="947"/>
      <c r="EG81" s="947"/>
      <c r="EH81" s="947"/>
      <c r="EI81" s="947"/>
      <c r="EJ81" s="947"/>
      <c r="EK81" s="947"/>
      <c r="EL81" s="947"/>
      <c r="EW81" s="840"/>
      <c r="EX81" s="938">
        <f t="shared" si="77"/>
        <v>976820.91844645003</v>
      </c>
      <c r="EY81" s="942">
        <f t="shared" si="78"/>
        <v>0.15</v>
      </c>
      <c r="EZ81" s="938">
        <f t="shared" si="79"/>
        <v>146523.1377669675</v>
      </c>
      <c r="FA81" s="938">
        <f t="shared" si="80"/>
        <v>10000</v>
      </c>
      <c r="FB81" s="938">
        <f t="shared" si="81"/>
        <v>136523.1377669675</v>
      </c>
      <c r="FC81" s="813">
        <f t="shared" si="73"/>
        <v>48</v>
      </c>
      <c r="FD81" s="814">
        <f t="shared" si="114"/>
        <v>2844.232036811823</v>
      </c>
      <c r="FE81" s="942">
        <f t="shared" si="115"/>
        <v>0.85</v>
      </c>
      <c r="FF81" s="938">
        <f t="shared" si="116"/>
        <v>830297.7806794825</v>
      </c>
      <c r="FG81" s="940">
        <f t="shared" si="117"/>
        <v>7462.9511850074696</v>
      </c>
      <c r="FH81" s="940">
        <f t="shared" si="118"/>
        <v>9640.4612613293375</v>
      </c>
      <c r="FI81" s="940">
        <f t="shared" si="119"/>
        <v>16440.891202846029</v>
      </c>
      <c r="FJ81" s="840"/>
      <c r="FK81" s="938">
        <f t="shared" si="126"/>
        <v>-1559.7401492193862</v>
      </c>
      <c r="FN81" s="957"/>
      <c r="FO81" s="957"/>
      <c r="FP81" s="957"/>
      <c r="FU81" s="957"/>
      <c r="FV81" s="957"/>
    </row>
    <row r="82" spans="1:178" s="717" customFormat="1" ht="14.5" x14ac:dyDescent="0.35">
      <c r="A82" s="813">
        <f t="shared" si="120"/>
        <v>71</v>
      </c>
      <c r="B82" s="813"/>
      <c r="C82" s="813" t="s">
        <v>378</v>
      </c>
      <c r="D82" s="813">
        <f t="shared" si="74"/>
        <v>18</v>
      </c>
      <c r="E82" s="813" t="s">
        <v>374</v>
      </c>
      <c r="F82" s="575" t="s">
        <v>544</v>
      </c>
      <c r="G82" s="575" t="s">
        <v>377</v>
      </c>
      <c r="H82" s="575">
        <v>13.5</v>
      </c>
      <c r="I82" s="814">
        <v>52000</v>
      </c>
      <c r="J82" s="815">
        <f t="shared" si="82"/>
        <v>702000</v>
      </c>
      <c r="K82" s="815">
        <v>40000</v>
      </c>
      <c r="L82" s="815"/>
      <c r="M82" s="815"/>
      <c r="N82" s="815">
        <f t="shared" si="83"/>
        <v>742000</v>
      </c>
      <c r="O82" s="815">
        <f t="shared" si="84"/>
        <v>18550</v>
      </c>
      <c r="P82" s="815">
        <f t="shared" si="85"/>
        <v>760550</v>
      </c>
      <c r="Q82" s="948">
        <f t="shared" si="86"/>
        <v>1.2500000000000001E-2</v>
      </c>
      <c r="R82" s="815">
        <f t="shared" si="87"/>
        <v>9506.875</v>
      </c>
      <c r="S82" s="955">
        <v>0</v>
      </c>
      <c r="T82" s="955">
        <f t="shared" si="88"/>
        <v>770056.875</v>
      </c>
      <c r="U82" s="955"/>
      <c r="V82" s="955">
        <f t="shared" si="89"/>
        <v>28877.1328125</v>
      </c>
      <c r="W82" s="955">
        <f t="shared" si="90"/>
        <v>798934.0078125</v>
      </c>
      <c r="X82" s="955"/>
      <c r="Y82" s="955">
        <f t="shared" si="91"/>
        <v>798934.0078125</v>
      </c>
      <c r="Z82" s="955"/>
      <c r="AA82" s="955">
        <f t="shared" si="92"/>
        <v>798934.0078125</v>
      </c>
      <c r="AB82" s="955"/>
      <c r="AC82" s="955">
        <f t="shared" si="93"/>
        <v>798934.0078125</v>
      </c>
      <c r="AD82" s="955"/>
      <c r="AE82" s="955">
        <f t="shared" si="94"/>
        <v>798934.0078125</v>
      </c>
      <c r="AF82" s="955"/>
      <c r="AG82" s="955">
        <f t="shared" si="95"/>
        <v>798934.0078125</v>
      </c>
      <c r="AH82" s="955"/>
      <c r="AI82" s="955">
        <f t="shared" si="96"/>
        <v>798934.0078125</v>
      </c>
      <c r="AJ82" s="955"/>
      <c r="AK82" s="955">
        <f t="shared" si="97"/>
        <v>798934.0078125</v>
      </c>
      <c r="AL82" s="955"/>
      <c r="AM82" s="955">
        <f t="shared" si="98"/>
        <v>798934.0078125</v>
      </c>
      <c r="AN82" s="955">
        <f t="shared" si="125"/>
        <v>1738.8761600000003</v>
      </c>
      <c r="AO82" s="1000">
        <f t="shared" si="99"/>
        <v>800672.88397249999</v>
      </c>
      <c r="AP82" s="1000"/>
      <c r="AQ82" s="1000">
        <f t="shared" si="100"/>
        <v>800672.88397249999</v>
      </c>
      <c r="AR82" s="1000"/>
      <c r="AS82" s="1000">
        <f t="shared" si="101"/>
        <v>800672.88397249999</v>
      </c>
      <c r="AT82" s="815">
        <f t="shared" si="102"/>
        <v>800672.88397249999</v>
      </c>
      <c r="AU82" s="815">
        <f t="shared" si="103"/>
        <v>96080.746076700001</v>
      </c>
      <c r="AV82" s="815">
        <f t="shared" si="104"/>
        <v>80067.288397249999</v>
      </c>
      <c r="AW82" s="815">
        <f t="shared" si="105"/>
        <v>976820.91844645003</v>
      </c>
      <c r="AX82" s="816">
        <v>0.15</v>
      </c>
      <c r="AY82" s="815">
        <f t="shared" si="121"/>
        <v>146523.1377669675</v>
      </c>
      <c r="AZ82" s="815">
        <v>10000</v>
      </c>
      <c r="BA82" s="815">
        <f t="shared" si="122"/>
        <v>136523.1377669675</v>
      </c>
      <c r="BB82" s="815">
        <f t="shared" si="71"/>
        <v>31</v>
      </c>
      <c r="BC82" s="814">
        <f t="shared" si="123"/>
        <v>4403.9721860312093</v>
      </c>
      <c r="BD82" s="817">
        <f t="shared" si="106"/>
        <v>0.85</v>
      </c>
      <c r="BE82" s="815">
        <f t="shared" si="124"/>
        <v>830297.7806794825</v>
      </c>
      <c r="BF82" s="833">
        <f t="shared" si="107"/>
        <v>7462.9511850074696</v>
      </c>
      <c r="BG82" s="833">
        <f t="shared" si="108"/>
        <v>9640.4612613293375</v>
      </c>
      <c r="BH82" s="833">
        <f t="shared" si="109"/>
        <v>16440.891202846029</v>
      </c>
      <c r="BK82" s="818"/>
      <c r="BL82" s="907">
        <f t="shared" si="75"/>
        <v>46082</v>
      </c>
      <c r="BM82" s="908">
        <f t="shared" si="110"/>
        <v>29</v>
      </c>
      <c r="BN82" s="909"/>
      <c r="BO82" s="907">
        <f t="shared" si="111"/>
        <v>46147</v>
      </c>
      <c r="BP82" s="914">
        <f t="shared" si="72"/>
        <v>31</v>
      </c>
      <c r="BQ82" s="818"/>
      <c r="BR82" s="818"/>
      <c r="BS82" s="818"/>
      <c r="BT82" s="818"/>
      <c r="BU82" s="818"/>
      <c r="BV82" s="818"/>
      <c r="BW82" s="818"/>
      <c r="BX82" s="818"/>
      <c r="BY82" s="818"/>
      <c r="BZ82" s="818"/>
      <c r="CA82" s="969" t="s">
        <v>263</v>
      </c>
      <c r="CB82" s="812" t="s">
        <v>263</v>
      </c>
      <c r="CC82" s="832" t="b">
        <f t="shared" si="112"/>
        <v>1</v>
      </c>
      <c r="CD82" s="717" t="s">
        <v>263</v>
      </c>
      <c r="CE82" s="949" t="b">
        <f t="shared" si="113"/>
        <v>1</v>
      </c>
      <c r="CG82" s="842"/>
      <c r="CH82" s="878"/>
      <c r="ED82" s="947"/>
      <c r="EF82" s="947"/>
      <c r="EG82" s="947"/>
      <c r="EH82" s="947"/>
      <c r="EI82" s="947"/>
      <c r="EJ82" s="947"/>
      <c r="EK82" s="947"/>
      <c r="EL82" s="947"/>
      <c r="EW82" s="840"/>
      <c r="EX82" s="938">
        <f t="shared" si="77"/>
        <v>976820.91844645003</v>
      </c>
      <c r="EY82" s="942">
        <f t="shared" si="78"/>
        <v>0.15</v>
      </c>
      <c r="EZ82" s="938">
        <f t="shared" si="79"/>
        <v>146523.1377669675</v>
      </c>
      <c r="FA82" s="938">
        <f t="shared" si="80"/>
        <v>10000</v>
      </c>
      <c r="FB82" s="938">
        <f t="shared" si="81"/>
        <v>136523.1377669675</v>
      </c>
      <c r="FC82" s="813">
        <f t="shared" si="73"/>
        <v>48</v>
      </c>
      <c r="FD82" s="814">
        <f t="shared" si="114"/>
        <v>2844.232036811823</v>
      </c>
      <c r="FE82" s="942">
        <f t="shared" si="115"/>
        <v>0.85</v>
      </c>
      <c r="FF82" s="938">
        <f t="shared" si="116"/>
        <v>830297.7806794825</v>
      </c>
      <c r="FG82" s="940">
        <f t="shared" si="117"/>
        <v>7462.9511850074696</v>
      </c>
      <c r="FH82" s="940">
        <f t="shared" si="118"/>
        <v>9640.4612613293375</v>
      </c>
      <c r="FI82" s="940">
        <f t="shared" si="119"/>
        <v>16440.891202846029</v>
      </c>
      <c r="FJ82" s="840"/>
      <c r="FK82" s="938">
        <f t="shared" si="126"/>
        <v>-1559.7401492193862</v>
      </c>
      <c r="FN82" s="957"/>
      <c r="FO82" s="957"/>
      <c r="FP82" s="957"/>
      <c r="FU82" s="957"/>
      <c r="FV82" s="957"/>
    </row>
    <row r="83" spans="1:178" s="717" customFormat="1" ht="14.5" x14ac:dyDescent="0.35">
      <c r="A83" s="813">
        <f t="shared" si="120"/>
        <v>72</v>
      </c>
      <c r="B83" s="813"/>
      <c r="C83" s="813" t="s">
        <v>378</v>
      </c>
      <c r="D83" s="813">
        <f t="shared" si="74"/>
        <v>19</v>
      </c>
      <c r="E83" s="813" t="s">
        <v>374</v>
      </c>
      <c r="F83" s="575" t="s">
        <v>545</v>
      </c>
      <c r="G83" s="575" t="s">
        <v>375</v>
      </c>
      <c r="H83" s="575">
        <v>13.5</v>
      </c>
      <c r="I83" s="814">
        <v>52000</v>
      </c>
      <c r="J83" s="815">
        <f t="shared" si="82"/>
        <v>702000</v>
      </c>
      <c r="K83" s="815">
        <v>40000</v>
      </c>
      <c r="L83" s="815">
        <v>50000</v>
      </c>
      <c r="M83" s="815"/>
      <c r="N83" s="815">
        <f t="shared" si="83"/>
        <v>792000</v>
      </c>
      <c r="O83" s="815">
        <f>N83*$O$10</f>
        <v>19800</v>
      </c>
      <c r="P83" s="815">
        <f t="shared" si="85"/>
        <v>811800</v>
      </c>
      <c r="Q83" s="948">
        <f t="shared" si="86"/>
        <v>1.2500000000000001E-2</v>
      </c>
      <c r="R83" s="815">
        <f t="shared" si="87"/>
        <v>10147.5</v>
      </c>
      <c r="S83" s="955" t="s">
        <v>450</v>
      </c>
      <c r="T83" s="955">
        <f t="shared" si="88"/>
        <v>821947.5</v>
      </c>
      <c r="U83" s="955"/>
      <c r="V83" s="955">
        <f t="shared" si="89"/>
        <v>30823.03125</v>
      </c>
      <c r="W83" s="955">
        <f t="shared" si="90"/>
        <v>852770.53125</v>
      </c>
      <c r="X83" s="955"/>
      <c r="Y83" s="955">
        <f t="shared" si="91"/>
        <v>852770.53125</v>
      </c>
      <c r="Z83" s="955"/>
      <c r="AA83" s="955">
        <f t="shared" si="92"/>
        <v>852770.53125</v>
      </c>
      <c r="AB83" s="955"/>
      <c r="AC83" s="955">
        <f t="shared" si="93"/>
        <v>852770.53125</v>
      </c>
      <c r="AD83" s="955"/>
      <c r="AE83" s="955">
        <f t="shared" si="94"/>
        <v>852770.53125</v>
      </c>
      <c r="AF83" s="955"/>
      <c r="AG83" s="955">
        <f t="shared" si="95"/>
        <v>852770.53125</v>
      </c>
      <c r="AH83" s="955"/>
      <c r="AI83" s="955">
        <f t="shared" si="96"/>
        <v>852770.53125</v>
      </c>
      <c r="AJ83" s="955"/>
      <c r="AK83" s="955">
        <f t="shared" si="97"/>
        <v>852770.53125</v>
      </c>
      <c r="AL83" s="955"/>
      <c r="AM83" s="955">
        <f t="shared" si="98"/>
        <v>852770.53125</v>
      </c>
      <c r="AN83" s="955">
        <f t="shared" si="125"/>
        <v>1738.8761600000003</v>
      </c>
      <c r="AO83" s="1000">
        <f t="shared" si="99"/>
        <v>854509.40740999999</v>
      </c>
      <c r="AP83" s="1000"/>
      <c r="AQ83" s="1000">
        <f t="shared" si="100"/>
        <v>854509.40740999999</v>
      </c>
      <c r="AR83" s="1000"/>
      <c r="AS83" s="1000">
        <f t="shared" si="101"/>
        <v>854509.40740999999</v>
      </c>
      <c r="AT83" s="815">
        <f t="shared" si="102"/>
        <v>854509.40740999999</v>
      </c>
      <c r="AU83" s="815">
        <f>AT83*$AU$10</f>
        <v>102541.1288892</v>
      </c>
      <c r="AV83" s="815">
        <f t="shared" si="104"/>
        <v>85450.940740999999</v>
      </c>
      <c r="AW83" s="815">
        <f t="shared" si="105"/>
        <v>1042501.4770402</v>
      </c>
      <c r="AX83" s="816">
        <v>0.15</v>
      </c>
      <c r="AY83" s="815">
        <f t="shared" si="121"/>
        <v>156375.22155603001</v>
      </c>
      <c r="AZ83" s="815">
        <v>10000</v>
      </c>
      <c r="BA83" s="815">
        <f t="shared" si="122"/>
        <v>146375.22155603001</v>
      </c>
      <c r="BB83" s="815">
        <f t="shared" si="71"/>
        <v>31</v>
      </c>
      <c r="BC83" s="814">
        <f t="shared" si="123"/>
        <v>4721.7813405170973</v>
      </c>
      <c r="BD83" s="817">
        <f t="shared" si="106"/>
        <v>0.85</v>
      </c>
      <c r="BE83" s="815">
        <f t="shared" si="124"/>
        <v>886126.25548417005</v>
      </c>
      <c r="BF83" s="833">
        <f t="shared" si="107"/>
        <v>7964.7532997377257</v>
      </c>
      <c r="BG83" s="833">
        <f t="shared" si="108"/>
        <v>10288.677191996092</v>
      </c>
      <c r="BH83" s="833">
        <f t="shared" si="109"/>
        <v>17546.361916658549</v>
      </c>
      <c r="BK83" s="818"/>
      <c r="BL83" s="907">
        <f t="shared" si="75"/>
        <v>46082</v>
      </c>
      <c r="BM83" s="908">
        <f t="shared" si="110"/>
        <v>29</v>
      </c>
      <c r="BN83" s="909"/>
      <c r="BO83" s="907">
        <f t="shared" si="111"/>
        <v>46147</v>
      </c>
      <c r="BP83" s="914">
        <f t="shared" si="72"/>
        <v>31</v>
      </c>
      <c r="BQ83" s="818"/>
      <c r="BR83" s="818"/>
      <c r="BS83" s="818"/>
      <c r="BT83" s="818"/>
      <c r="BU83" s="818"/>
      <c r="BV83" s="818"/>
      <c r="BW83" s="818"/>
      <c r="BX83" s="818"/>
      <c r="BY83" s="818"/>
      <c r="BZ83" s="818"/>
      <c r="CA83" s="969" t="s">
        <v>263</v>
      </c>
      <c r="CB83" s="969" t="s">
        <v>263</v>
      </c>
      <c r="CC83" s="832" t="b">
        <f t="shared" si="112"/>
        <v>1</v>
      </c>
      <c r="CD83" s="717" t="s">
        <v>263</v>
      </c>
      <c r="CE83" s="949" t="b">
        <f t="shared" si="113"/>
        <v>1</v>
      </c>
      <c r="CG83" s="842"/>
      <c r="CH83" s="878"/>
      <c r="ED83" s="947"/>
      <c r="EF83" s="947"/>
      <c r="EG83" s="947"/>
      <c r="EH83" s="947"/>
      <c r="EI83" s="947"/>
      <c r="EJ83" s="947"/>
      <c r="EK83" s="947"/>
      <c r="EL83" s="947"/>
      <c r="EW83" s="840"/>
      <c r="EX83" s="938">
        <f t="shared" si="77"/>
        <v>1042501.4770402</v>
      </c>
      <c r="EY83" s="942">
        <f t="shared" si="78"/>
        <v>0.15</v>
      </c>
      <c r="EZ83" s="938">
        <f t="shared" si="79"/>
        <v>156375.22155603001</v>
      </c>
      <c r="FA83" s="938">
        <f t="shared" si="80"/>
        <v>10000</v>
      </c>
      <c r="FB83" s="938">
        <f t="shared" si="81"/>
        <v>146375.22155603001</v>
      </c>
      <c r="FC83" s="813">
        <f t="shared" si="73"/>
        <v>48</v>
      </c>
      <c r="FD83" s="814">
        <f t="shared" si="114"/>
        <v>3049.4837824172919</v>
      </c>
      <c r="FE83" s="942">
        <f t="shared" si="115"/>
        <v>0.85</v>
      </c>
      <c r="FF83" s="938">
        <f t="shared" si="116"/>
        <v>886126.25548417005</v>
      </c>
      <c r="FG83" s="940">
        <f t="shared" si="117"/>
        <v>7964.7532997377257</v>
      </c>
      <c r="FH83" s="940">
        <f t="shared" si="118"/>
        <v>10288.677191996092</v>
      </c>
      <c r="FI83" s="940">
        <f t="shared" si="119"/>
        <v>17546.361916658549</v>
      </c>
      <c r="FJ83" s="840"/>
      <c r="FK83" s="938">
        <f t="shared" si="126"/>
        <v>-1672.2975580998054</v>
      </c>
      <c r="FN83" s="957"/>
      <c r="FO83" s="957"/>
      <c r="FP83" s="957"/>
      <c r="FU83" s="957"/>
      <c r="FV83" s="957"/>
    </row>
    <row r="84" spans="1:178" s="717" customFormat="1" ht="14.5" hidden="1" x14ac:dyDescent="0.35">
      <c r="A84" s="1079">
        <f t="shared" si="120"/>
        <v>73</v>
      </c>
      <c r="B84" s="813"/>
      <c r="C84" s="1079" t="s">
        <v>378</v>
      </c>
      <c r="D84" s="813">
        <f t="shared" si="74"/>
        <v>20</v>
      </c>
      <c r="E84" s="1079" t="s">
        <v>374</v>
      </c>
      <c r="F84" s="1080" t="s">
        <v>546</v>
      </c>
      <c r="G84" s="1080" t="s">
        <v>375</v>
      </c>
      <c r="H84" s="1080">
        <v>13.5</v>
      </c>
      <c r="I84" s="1082">
        <v>52000</v>
      </c>
      <c r="J84" s="1055">
        <f t="shared" si="82"/>
        <v>702000</v>
      </c>
      <c r="K84" s="1055">
        <v>40000</v>
      </c>
      <c r="L84" s="1055"/>
      <c r="M84" s="1055"/>
      <c r="N84" s="1055">
        <f t="shared" si="83"/>
        <v>742000</v>
      </c>
      <c r="O84" s="1055">
        <f t="shared" si="84"/>
        <v>18550</v>
      </c>
      <c r="P84" s="1055">
        <f t="shared" si="85"/>
        <v>760550</v>
      </c>
      <c r="Q84" s="1083">
        <f t="shared" si="86"/>
        <v>1.2500000000000001E-2</v>
      </c>
      <c r="R84" s="1055">
        <f t="shared" si="87"/>
        <v>9506.875</v>
      </c>
      <c r="S84" s="1084" t="s">
        <v>450</v>
      </c>
      <c r="T84" s="1084">
        <f t="shared" si="88"/>
        <v>770056.875</v>
      </c>
      <c r="U84" s="1084"/>
      <c r="V84" s="1084">
        <f t="shared" si="89"/>
        <v>28877.1328125</v>
      </c>
      <c r="W84" s="1084">
        <f t="shared" si="90"/>
        <v>798934.0078125</v>
      </c>
      <c r="X84" s="1084"/>
      <c r="Y84" s="1084">
        <f t="shared" si="91"/>
        <v>798934.0078125</v>
      </c>
      <c r="Z84" s="1084"/>
      <c r="AA84" s="1084">
        <f t="shared" si="92"/>
        <v>798934.0078125</v>
      </c>
      <c r="AB84" s="1084"/>
      <c r="AC84" s="1084">
        <f t="shared" si="93"/>
        <v>798934.0078125</v>
      </c>
      <c r="AD84" s="1084"/>
      <c r="AE84" s="1084">
        <f t="shared" si="94"/>
        <v>798934.0078125</v>
      </c>
      <c r="AF84" s="1084"/>
      <c r="AG84" s="1084">
        <f t="shared" si="95"/>
        <v>798934.0078125</v>
      </c>
      <c r="AH84" s="1084"/>
      <c r="AI84" s="1084">
        <f t="shared" si="96"/>
        <v>798934.0078125</v>
      </c>
      <c r="AJ84" s="1084"/>
      <c r="AK84" s="1084">
        <f t="shared" si="97"/>
        <v>798934.0078125</v>
      </c>
      <c r="AL84" s="1084"/>
      <c r="AM84" s="1084">
        <f t="shared" si="98"/>
        <v>798934.0078125</v>
      </c>
      <c r="AN84" s="1084"/>
      <c r="AO84" s="1084">
        <f t="shared" si="99"/>
        <v>798934.0078125</v>
      </c>
      <c r="AP84" s="1084"/>
      <c r="AQ84" s="1000">
        <f t="shared" si="100"/>
        <v>798934.0078125</v>
      </c>
      <c r="AR84" s="1084"/>
      <c r="AS84" s="1000">
        <f t="shared" si="101"/>
        <v>798934.0078125</v>
      </c>
      <c r="AT84" s="1055">
        <f t="shared" si="102"/>
        <v>798934.0078125</v>
      </c>
      <c r="AU84" s="1055">
        <f t="shared" si="103"/>
        <v>95872.080937499995</v>
      </c>
      <c r="AV84" s="1055">
        <f t="shared" si="104"/>
        <v>79893.400781250006</v>
      </c>
      <c r="AW84" s="1055">
        <f t="shared" si="105"/>
        <v>974699.48953124997</v>
      </c>
      <c r="AX84" s="1085">
        <v>0.15</v>
      </c>
      <c r="AY84" s="1055">
        <f t="shared" si="121"/>
        <v>146204.92342968748</v>
      </c>
      <c r="AZ84" s="1055">
        <v>10000</v>
      </c>
      <c r="BA84" s="1055">
        <f t="shared" si="122"/>
        <v>136204.92342968748</v>
      </c>
      <c r="BB84" s="1055">
        <f t="shared" si="71"/>
        <v>31</v>
      </c>
      <c r="BC84" s="1082">
        <f t="shared" si="123"/>
        <v>4393.7072074092739</v>
      </c>
      <c r="BD84" s="1086">
        <f t="shared" si="106"/>
        <v>0.85</v>
      </c>
      <c r="BE84" s="1055">
        <f t="shared" si="124"/>
        <v>828494.56610156246</v>
      </c>
      <c r="BF84" s="1087">
        <f t="shared" si="107"/>
        <v>7446.743382596992</v>
      </c>
      <c r="BG84" s="1087">
        <f t="shared" si="108"/>
        <v>9619.5244110946223</v>
      </c>
      <c r="BH84" s="1087">
        <f t="shared" si="109"/>
        <v>16405.185392977779</v>
      </c>
      <c r="BK84" s="818"/>
      <c r="BL84" s="907">
        <f t="shared" si="75"/>
        <v>46082</v>
      </c>
      <c r="BM84" s="908">
        <f t="shared" si="110"/>
        <v>29</v>
      </c>
      <c r="BN84" s="909"/>
      <c r="BO84" s="907">
        <f t="shared" si="111"/>
        <v>46147</v>
      </c>
      <c r="BP84" s="914">
        <f t="shared" si="72"/>
        <v>31</v>
      </c>
      <c r="BQ84" s="818"/>
      <c r="BR84" s="818"/>
      <c r="BS84" s="818"/>
      <c r="BT84" s="818"/>
      <c r="BU84" s="818"/>
      <c r="BV84" s="818"/>
      <c r="BW84" s="818"/>
      <c r="BX84" s="818"/>
      <c r="BY84" s="818"/>
      <c r="BZ84" s="818"/>
      <c r="CA84" s="969" t="s">
        <v>328</v>
      </c>
      <c r="CB84" s="812" t="s">
        <v>328</v>
      </c>
      <c r="CC84" s="832" t="b">
        <f t="shared" si="112"/>
        <v>1</v>
      </c>
      <c r="CD84" s="717" t="s">
        <v>328</v>
      </c>
      <c r="CE84" s="949" t="b">
        <f t="shared" si="113"/>
        <v>1</v>
      </c>
      <c r="CG84" s="842"/>
      <c r="CH84" s="878"/>
      <c r="ED84" s="947"/>
      <c r="EF84" s="947"/>
      <c r="EG84" s="947"/>
      <c r="EH84" s="947"/>
      <c r="EI84" s="947"/>
      <c r="EJ84" s="947"/>
      <c r="EK84" s="947"/>
      <c r="EL84" s="947"/>
      <c r="EW84" s="840"/>
      <c r="EX84" s="938">
        <f t="shared" si="77"/>
        <v>974699.48953124997</v>
      </c>
      <c r="EY84" s="942">
        <f t="shared" si="78"/>
        <v>0.15</v>
      </c>
      <c r="EZ84" s="938">
        <f t="shared" si="79"/>
        <v>146204.92342968748</v>
      </c>
      <c r="FA84" s="938">
        <f t="shared" si="80"/>
        <v>10000</v>
      </c>
      <c r="FB84" s="938">
        <f t="shared" si="81"/>
        <v>136204.92342968748</v>
      </c>
      <c r="FC84" s="813">
        <f t="shared" si="73"/>
        <v>48</v>
      </c>
      <c r="FD84" s="814">
        <f t="shared" si="114"/>
        <v>2837.6025714518223</v>
      </c>
      <c r="FE84" s="942">
        <f t="shared" si="115"/>
        <v>0.85</v>
      </c>
      <c r="FF84" s="938">
        <f t="shared" si="116"/>
        <v>828494.56610156246</v>
      </c>
      <c r="FG84" s="940">
        <f t="shared" si="117"/>
        <v>7446.743382596992</v>
      </c>
      <c r="FH84" s="940">
        <f t="shared" si="118"/>
        <v>9619.5244110946223</v>
      </c>
      <c r="FI84" s="940">
        <f t="shared" si="119"/>
        <v>16405.185392977779</v>
      </c>
      <c r="FJ84" s="840"/>
      <c r="FK84" s="938">
        <f t="shared" si="126"/>
        <v>-1556.1046359574516</v>
      </c>
      <c r="FN84" s="957"/>
      <c r="FO84" s="957"/>
      <c r="FP84" s="957"/>
      <c r="FU84" s="957"/>
      <c r="FV84" s="957"/>
    </row>
    <row r="85" spans="1:178" s="717" customFormat="1" ht="14.5" x14ac:dyDescent="0.35">
      <c r="A85" s="813">
        <f t="shared" si="120"/>
        <v>74</v>
      </c>
      <c r="B85" s="813"/>
      <c r="C85" s="813" t="s">
        <v>378</v>
      </c>
      <c r="D85" s="813">
        <f t="shared" si="74"/>
        <v>21</v>
      </c>
      <c r="E85" s="813" t="s">
        <v>379</v>
      </c>
      <c r="F85" s="575" t="s">
        <v>547</v>
      </c>
      <c r="G85" s="575" t="s">
        <v>375</v>
      </c>
      <c r="H85" s="575">
        <v>13.5</v>
      </c>
      <c r="I85" s="814">
        <v>52000</v>
      </c>
      <c r="J85" s="815">
        <f t="shared" si="82"/>
        <v>702000</v>
      </c>
      <c r="K85" s="815"/>
      <c r="L85" s="815"/>
      <c r="M85" s="815"/>
      <c r="N85" s="815">
        <f t="shared" si="83"/>
        <v>702000</v>
      </c>
      <c r="O85" s="815">
        <f t="shared" si="84"/>
        <v>17550</v>
      </c>
      <c r="P85" s="815">
        <f t="shared" si="85"/>
        <v>719550</v>
      </c>
      <c r="Q85" s="948">
        <f t="shared" si="86"/>
        <v>1.2500000000000001E-2</v>
      </c>
      <c r="R85" s="815">
        <f t="shared" si="87"/>
        <v>8994.375</v>
      </c>
      <c r="S85" s="955">
        <v>0</v>
      </c>
      <c r="T85" s="955">
        <f t="shared" si="88"/>
        <v>728544.375</v>
      </c>
      <c r="U85" s="955"/>
      <c r="V85" s="955">
        <f t="shared" si="89"/>
        <v>27320.4140625</v>
      </c>
      <c r="W85" s="955">
        <f t="shared" si="90"/>
        <v>755864.7890625</v>
      </c>
      <c r="X85" s="955"/>
      <c r="Y85" s="955">
        <f t="shared" si="91"/>
        <v>755864.7890625</v>
      </c>
      <c r="Z85" s="955"/>
      <c r="AA85" s="955">
        <f t="shared" si="92"/>
        <v>755864.7890625</v>
      </c>
      <c r="AB85" s="955"/>
      <c r="AC85" s="955">
        <f t="shared" si="93"/>
        <v>755864.7890625</v>
      </c>
      <c r="AD85" s="955"/>
      <c r="AE85" s="955">
        <f t="shared" si="94"/>
        <v>755864.7890625</v>
      </c>
      <c r="AF85" s="955"/>
      <c r="AG85" s="955">
        <f t="shared" si="95"/>
        <v>755864.7890625</v>
      </c>
      <c r="AH85" s="955"/>
      <c r="AI85" s="955">
        <f t="shared" si="96"/>
        <v>755864.7890625</v>
      </c>
      <c r="AJ85" s="955"/>
      <c r="AK85" s="955">
        <f t="shared" si="97"/>
        <v>755864.7890625</v>
      </c>
      <c r="AL85" s="955"/>
      <c r="AM85" s="955">
        <f t="shared" si="98"/>
        <v>755864.7890625</v>
      </c>
      <c r="AN85" s="955">
        <f>$AN$10/10</f>
        <v>1738.8761600000003</v>
      </c>
      <c r="AO85" s="1000">
        <f t="shared" si="99"/>
        <v>757603.66522249999</v>
      </c>
      <c r="AP85" s="1000"/>
      <c r="AQ85" s="1000">
        <f t="shared" si="100"/>
        <v>757603.66522249999</v>
      </c>
      <c r="AR85" s="1000"/>
      <c r="AS85" s="1000">
        <f t="shared" si="101"/>
        <v>757603.66522249999</v>
      </c>
      <c r="AT85" s="815">
        <f t="shared" si="102"/>
        <v>757603.66522249999</v>
      </c>
      <c r="AU85" s="815">
        <f t="shared" si="103"/>
        <v>90912.439826699992</v>
      </c>
      <c r="AV85" s="815">
        <f t="shared" si="104"/>
        <v>75760.366522249999</v>
      </c>
      <c r="AW85" s="815">
        <f t="shared" si="105"/>
        <v>924276.47157145001</v>
      </c>
      <c r="AX85" s="816">
        <v>0.15</v>
      </c>
      <c r="AY85" s="815">
        <f t="shared" si="121"/>
        <v>138641.47073571751</v>
      </c>
      <c r="AZ85" s="815">
        <v>10000</v>
      </c>
      <c r="BA85" s="815">
        <f t="shared" si="122"/>
        <v>128641.47073571751</v>
      </c>
      <c r="BB85" s="815">
        <f t="shared" si="71"/>
        <v>31</v>
      </c>
      <c r="BC85" s="814">
        <f t="shared" si="123"/>
        <v>4149.7248624425001</v>
      </c>
      <c r="BD85" s="817">
        <f t="shared" si="106"/>
        <v>0.85</v>
      </c>
      <c r="BE85" s="815">
        <f t="shared" si="124"/>
        <v>785635.00083573244</v>
      </c>
      <c r="BF85" s="833">
        <f t="shared" si="107"/>
        <v>7061.5094932232651</v>
      </c>
      <c r="BG85" s="833">
        <f t="shared" si="108"/>
        <v>9121.8885167959343</v>
      </c>
      <c r="BH85" s="833">
        <f t="shared" si="109"/>
        <v>15556.514631796012</v>
      </c>
      <c r="BK85" s="818"/>
      <c r="BL85" s="907">
        <f t="shared" si="75"/>
        <v>46082</v>
      </c>
      <c r="BM85" s="908">
        <f t="shared" si="110"/>
        <v>29</v>
      </c>
      <c r="BN85" s="909"/>
      <c r="BO85" s="907">
        <f t="shared" si="111"/>
        <v>46147</v>
      </c>
      <c r="BP85" s="914">
        <f t="shared" si="72"/>
        <v>31</v>
      </c>
      <c r="BQ85" s="818"/>
      <c r="BR85" s="818"/>
      <c r="BS85" s="818"/>
      <c r="BT85" s="818"/>
      <c r="BU85" s="818"/>
      <c r="BV85" s="818"/>
      <c r="BW85" s="818"/>
      <c r="BX85" s="818"/>
      <c r="BY85" s="818"/>
      <c r="BZ85" s="818"/>
      <c r="CA85" s="969" t="s">
        <v>263</v>
      </c>
      <c r="CB85" s="812" t="s">
        <v>263</v>
      </c>
      <c r="CC85" s="832" t="b">
        <f t="shared" si="112"/>
        <v>1</v>
      </c>
      <c r="CD85" s="717" t="s">
        <v>263</v>
      </c>
      <c r="CE85" s="949" t="b">
        <f t="shared" si="113"/>
        <v>1</v>
      </c>
      <c r="CG85" s="842"/>
      <c r="CH85" s="878"/>
      <c r="ED85" s="947"/>
      <c r="EF85" s="947"/>
      <c r="EG85" s="947"/>
      <c r="EH85" s="947"/>
      <c r="EI85" s="947"/>
      <c r="EJ85" s="947"/>
      <c r="EK85" s="947"/>
      <c r="EL85" s="947"/>
      <c r="EW85" s="840"/>
      <c r="EX85" s="938">
        <f t="shared" si="77"/>
        <v>924276.47157145001</v>
      </c>
      <c r="EY85" s="942">
        <f t="shared" si="78"/>
        <v>0.15</v>
      </c>
      <c r="EZ85" s="938">
        <f t="shared" si="79"/>
        <v>138641.47073571751</v>
      </c>
      <c r="FA85" s="938">
        <f t="shared" si="80"/>
        <v>10000</v>
      </c>
      <c r="FB85" s="938">
        <f t="shared" si="81"/>
        <v>128641.47073571751</v>
      </c>
      <c r="FC85" s="813">
        <f t="shared" si="73"/>
        <v>48</v>
      </c>
      <c r="FD85" s="814">
        <f t="shared" si="114"/>
        <v>2680.0306403274481</v>
      </c>
      <c r="FE85" s="942">
        <f t="shared" si="115"/>
        <v>0.85</v>
      </c>
      <c r="FF85" s="938">
        <f t="shared" si="116"/>
        <v>785635.00083573244</v>
      </c>
      <c r="FG85" s="940">
        <f t="shared" si="117"/>
        <v>7061.5094932232651</v>
      </c>
      <c r="FH85" s="940">
        <f t="shared" si="118"/>
        <v>9121.8885167959343</v>
      </c>
      <c r="FI85" s="940">
        <f t="shared" si="119"/>
        <v>15556.514631796012</v>
      </c>
      <c r="FJ85" s="840"/>
      <c r="FK85" s="938">
        <f t="shared" si="126"/>
        <v>-1469.6942221150521</v>
      </c>
      <c r="FN85" s="957"/>
      <c r="FO85" s="957"/>
      <c r="FP85" s="957"/>
      <c r="FU85" s="957"/>
      <c r="FV85" s="957"/>
    </row>
    <row r="86" spans="1:178" s="717" customFormat="1" ht="14.5" hidden="1" x14ac:dyDescent="0.35">
      <c r="A86" s="822">
        <f t="shared" si="120"/>
        <v>75</v>
      </c>
      <c r="B86" s="813"/>
      <c r="C86" s="822" t="s">
        <v>378</v>
      </c>
      <c r="D86" s="813">
        <f t="shared" si="74"/>
        <v>22</v>
      </c>
      <c r="E86" s="822" t="s">
        <v>379</v>
      </c>
      <c r="F86" s="823" t="s">
        <v>548</v>
      </c>
      <c r="G86" s="823" t="s">
        <v>375</v>
      </c>
      <c r="H86" s="823">
        <v>13.5</v>
      </c>
      <c r="I86" s="824">
        <v>52000</v>
      </c>
      <c r="J86" s="825">
        <f t="shared" si="82"/>
        <v>702000</v>
      </c>
      <c r="K86" s="825"/>
      <c r="L86" s="825"/>
      <c r="M86" s="825"/>
      <c r="N86" s="825">
        <f t="shared" si="83"/>
        <v>702000</v>
      </c>
      <c r="O86" s="825">
        <f t="shared" si="84"/>
        <v>17550</v>
      </c>
      <c r="P86" s="825">
        <f t="shared" si="85"/>
        <v>719550</v>
      </c>
      <c r="Q86" s="1088">
        <f t="shared" si="86"/>
        <v>1.2500000000000001E-2</v>
      </c>
      <c r="R86" s="825">
        <f t="shared" si="87"/>
        <v>8994.375</v>
      </c>
      <c r="S86" s="1089" t="s">
        <v>450</v>
      </c>
      <c r="T86" s="1089">
        <f t="shared" si="88"/>
        <v>728544.375</v>
      </c>
      <c r="U86" s="1089"/>
      <c r="V86" s="1089">
        <f t="shared" si="89"/>
        <v>27320.4140625</v>
      </c>
      <c r="W86" s="1089">
        <f t="shared" si="90"/>
        <v>755864.7890625</v>
      </c>
      <c r="X86" s="1089"/>
      <c r="Y86" s="1089">
        <f t="shared" si="91"/>
        <v>755864.7890625</v>
      </c>
      <c r="Z86" s="1089"/>
      <c r="AA86" s="1089">
        <f t="shared" si="92"/>
        <v>755864.7890625</v>
      </c>
      <c r="AB86" s="1089"/>
      <c r="AC86" s="1089">
        <f t="shared" si="93"/>
        <v>755864.7890625</v>
      </c>
      <c r="AD86" s="1089"/>
      <c r="AE86" s="1089">
        <f t="shared" si="94"/>
        <v>755864.7890625</v>
      </c>
      <c r="AF86" s="1089"/>
      <c r="AG86" s="1089">
        <f t="shared" si="95"/>
        <v>755864.7890625</v>
      </c>
      <c r="AH86" s="1089"/>
      <c r="AI86" s="1089">
        <f t="shared" si="96"/>
        <v>755864.7890625</v>
      </c>
      <c r="AJ86" s="1089"/>
      <c r="AK86" s="1089">
        <f t="shared" si="97"/>
        <v>755864.7890625</v>
      </c>
      <c r="AL86" s="1089"/>
      <c r="AM86" s="1089">
        <f t="shared" si="98"/>
        <v>755864.7890625</v>
      </c>
      <c r="AN86" s="1089"/>
      <c r="AO86" s="1089">
        <f t="shared" si="99"/>
        <v>755864.7890625</v>
      </c>
      <c r="AP86" s="1089"/>
      <c r="AQ86" s="1000">
        <f t="shared" si="100"/>
        <v>755864.7890625</v>
      </c>
      <c r="AR86" s="1089"/>
      <c r="AS86" s="1000">
        <f t="shared" si="101"/>
        <v>755864.7890625</v>
      </c>
      <c r="AT86" s="825">
        <f t="shared" si="102"/>
        <v>755864.7890625</v>
      </c>
      <c r="AU86" s="825">
        <f t="shared" si="103"/>
        <v>90703.774687500001</v>
      </c>
      <c r="AV86" s="825">
        <f t="shared" si="104"/>
        <v>75586.478906250006</v>
      </c>
      <c r="AW86" s="825">
        <f t="shared" si="105"/>
        <v>922155.04265624995</v>
      </c>
      <c r="AX86" s="826">
        <v>0.15</v>
      </c>
      <c r="AY86" s="825">
        <f t="shared" si="121"/>
        <v>138323.25639843749</v>
      </c>
      <c r="AZ86" s="825">
        <v>10000</v>
      </c>
      <c r="BA86" s="825">
        <f t="shared" si="122"/>
        <v>128323.25639843749</v>
      </c>
      <c r="BB86" s="825">
        <f t="shared" si="71"/>
        <v>31</v>
      </c>
      <c r="BC86" s="824">
        <f t="shared" si="123"/>
        <v>4139.4598838205638</v>
      </c>
      <c r="BD86" s="827">
        <f t="shared" si="106"/>
        <v>0.85</v>
      </c>
      <c r="BE86" s="825">
        <f t="shared" si="124"/>
        <v>783831.7862578124</v>
      </c>
      <c r="BF86" s="1090">
        <f t="shared" si="107"/>
        <v>7045.3016908127875</v>
      </c>
      <c r="BG86" s="1090">
        <f t="shared" si="108"/>
        <v>9100.9516665612191</v>
      </c>
      <c r="BH86" s="1090">
        <f t="shared" si="109"/>
        <v>15520.808821927765</v>
      </c>
      <c r="BK86" s="818"/>
      <c r="BL86" s="907">
        <f t="shared" si="75"/>
        <v>46082</v>
      </c>
      <c r="BM86" s="908">
        <f t="shared" si="110"/>
        <v>29</v>
      </c>
      <c r="BN86" s="909"/>
      <c r="BO86" s="907">
        <f t="shared" si="111"/>
        <v>46147</v>
      </c>
      <c r="BP86" s="914">
        <f t="shared" si="72"/>
        <v>31</v>
      </c>
      <c r="BQ86" s="818"/>
      <c r="BR86" s="818"/>
      <c r="BS86" s="818"/>
      <c r="BT86" s="818"/>
      <c r="BU86" s="818"/>
      <c r="BV86" s="818"/>
      <c r="BW86" s="818"/>
      <c r="BX86" s="818"/>
      <c r="BY86" s="818"/>
      <c r="BZ86" s="818"/>
      <c r="CA86" s="969" t="s">
        <v>262</v>
      </c>
      <c r="CB86" s="812" t="s">
        <v>262</v>
      </c>
      <c r="CC86" s="832" t="b">
        <f t="shared" si="112"/>
        <v>1</v>
      </c>
      <c r="CD86" s="717" t="s">
        <v>262</v>
      </c>
      <c r="CE86" s="949" t="b">
        <f t="shared" si="113"/>
        <v>1</v>
      </c>
      <c r="CG86" s="842"/>
      <c r="CH86" s="878"/>
      <c r="ED86" s="947"/>
      <c r="EF86" s="947"/>
      <c r="EG86" s="947"/>
      <c r="EH86" s="947"/>
      <c r="EI86" s="947"/>
      <c r="EJ86" s="947"/>
      <c r="EK86" s="947"/>
      <c r="EL86" s="947"/>
      <c r="EW86" s="840"/>
      <c r="EX86" s="938">
        <f t="shared" si="77"/>
        <v>922155.04265624995</v>
      </c>
      <c r="EY86" s="942">
        <f t="shared" si="78"/>
        <v>0.15</v>
      </c>
      <c r="EZ86" s="938">
        <f t="shared" si="79"/>
        <v>138323.25639843749</v>
      </c>
      <c r="FA86" s="938">
        <f t="shared" si="80"/>
        <v>10000</v>
      </c>
      <c r="FB86" s="938">
        <f t="shared" si="81"/>
        <v>128323.25639843749</v>
      </c>
      <c r="FC86" s="813">
        <f t="shared" si="73"/>
        <v>48</v>
      </c>
      <c r="FD86" s="814">
        <f t="shared" si="114"/>
        <v>2673.4011749674478</v>
      </c>
      <c r="FE86" s="942">
        <f t="shared" si="115"/>
        <v>0.85</v>
      </c>
      <c r="FF86" s="938">
        <f t="shared" si="116"/>
        <v>783831.7862578124</v>
      </c>
      <c r="FG86" s="940">
        <f t="shared" si="117"/>
        <v>7045.3016908127875</v>
      </c>
      <c r="FH86" s="940">
        <f t="shared" si="118"/>
        <v>9100.9516665612191</v>
      </c>
      <c r="FI86" s="940">
        <f t="shared" si="119"/>
        <v>15520.808821927765</v>
      </c>
      <c r="FJ86" s="840"/>
      <c r="FK86" s="938">
        <f t="shared" si="126"/>
        <v>-1466.0587088531161</v>
      </c>
      <c r="FN86" s="957"/>
      <c r="FO86" s="957"/>
      <c r="FP86" s="957"/>
      <c r="FU86" s="957"/>
      <c r="FV86" s="957"/>
    </row>
    <row r="87" spans="1:178" s="717" customFormat="1" ht="14.5" hidden="1" x14ac:dyDescent="0.35">
      <c r="A87" s="813">
        <f t="shared" si="120"/>
        <v>76</v>
      </c>
      <c r="B87" s="813"/>
      <c r="C87" s="813" t="s">
        <v>378</v>
      </c>
      <c r="D87" s="813">
        <f t="shared" si="74"/>
        <v>23</v>
      </c>
      <c r="E87" s="813" t="s">
        <v>379</v>
      </c>
      <c r="F87" s="575" t="s">
        <v>549</v>
      </c>
      <c r="G87" s="575" t="s">
        <v>375</v>
      </c>
      <c r="H87" s="575">
        <v>13.5</v>
      </c>
      <c r="I87" s="814">
        <v>52000</v>
      </c>
      <c r="J87" s="815">
        <f t="shared" si="82"/>
        <v>702000</v>
      </c>
      <c r="K87" s="815"/>
      <c r="L87" s="815"/>
      <c r="M87" s="815"/>
      <c r="N87" s="815">
        <f t="shared" si="83"/>
        <v>702000</v>
      </c>
      <c r="O87" s="815">
        <f t="shared" si="84"/>
        <v>17550</v>
      </c>
      <c r="P87" s="815">
        <f t="shared" si="85"/>
        <v>719550</v>
      </c>
      <c r="Q87" s="948">
        <f t="shared" si="86"/>
        <v>1.2500000000000001E-2</v>
      </c>
      <c r="R87" s="815">
        <f t="shared" si="87"/>
        <v>8994.375</v>
      </c>
      <c r="S87" s="955" t="s">
        <v>450</v>
      </c>
      <c r="T87" s="955">
        <f t="shared" si="88"/>
        <v>728544.375</v>
      </c>
      <c r="U87" s="955"/>
      <c r="V87" s="955">
        <f t="shared" si="89"/>
        <v>27320.4140625</v>
      </c>
      <c r="W87" s="955">
        <f t="shared" si="90"/>
        <v>755864.7890625</v>
      </c>
      <c r="X87" s="955"/>
      <c r="Y87" s="955">
        <f t="shared" si="91"/>
        <v>755864.7890625</v>
      </c>
      <c r="Z87" s="955"/>
      <c r="AA87" s="955">
        <f t="shared" si="92"/>
        <v>755864.7890625</v>
      </c>
      <c r="AB87" s="955"/>
      <c r="AC87" s="955">
        <f t="shared" si="93"/>
        <v>755864.7890625</v>
      </c>
      <c r="AD87" s="955"/>
      <c r="AE87" s="955">
        <f t="shared" si="94"/>
        <v>755864.7890625</v>
      </c>
      <c r="AF87" s="955"/>
      <c r="AG87" s="955">
        <f t="shared" si="95"/>
        <v>755864.7890625</v>
      </c>
      <c r="AH87" s="955"/>
      <c r="AI87" s="955">
        <f t="shared" si="96"/>
        <v>755864.7890625</v>
      </c>
      <c r="AJ87" s="955"/>
      <c r="AK87" s="955">
        <f t="shared" si="97"/>
        <v>755864.7890625</v>
      </c>
      <c r="AL87" s="955"/>
      <c r="AM87" s="955">
        <f t="shared" si="98"/>
        <v>755864.7890625</v>
      </c>
      <c r="AN87" s="955"/>
      <c r="AO87" s="955">
        <f t="shared" si="99"/>
        <v>755864.7890625</v>
      </c>
      <c r="AP87" s="955"/>
      <c r="AQ87" s="1000">
        <f t="shared" si="100"/>
        <v>755864.7890625</v>
      </c>
      <c r="AR87" s="955"/>
      <c r="AS87" s="1000">
        <f t="shared" si="101"/>
        <v>755864.7890625</v>
      </c>
      <c r="AT87" s="815">
        <f t="shared" si="102"/>
        <v>755864.7890625</v>
      </c>
      <c r="AU87" s="815">
        <f t="shared" si="103"/>
        <v>90703.774687500001</v>
      </c>
      <c r="AV87" s="815">
        <f t="shared" si="104"/>
        <v>75586.478906250006</v>
      </c>
      <c r="AW87" s="815">
        <f t="shared" si="105"/>
        <v>922155.04265624995</v>
      </c>
      <c r="AX87" s="816">
        <v>0.15</v>
      </c>
      <c r="AY87" s="815">
        <f t="shared" si="121"/>
        <v>138323.25639843749</v>
      </c>
      <c r="AZ87" s="815">
        <v>10000</v>
      </c>
      <c r="BA87" s="815">
        <f t="shared" si="122"/>
        <v>128323.25639843749</v>
      </c>
      <c r="BB87" s="825">
        <f t="shared" si="71"/>
        <v>31</v>
      </c>
      <c r="BC87" s="814">
        <f t="shared" si="123"/>
        <v>4139.4598838205638</v>
      </c>
      <c r="BD87" s="817">
        <f t="shared" si="106"/>
        <v>0.85</v>
      </c>
      <c r="BE87" s="815">
        <f t="shared" si="124"/>
        <v>783831.7862578124</v>
      </c>
      <c r="BF87" s="833">
        <f t="shared" si="107"/>
        <v>7045.3016908127875</v>
      </c>
      <c r="BG87" s="833">
        <f t="shared" si="108"/>
        <v>9100.9516665612191</v>
      </c>
      <c r="BH87" s="833">
        <f t="shared" si="109"/>
        <v>15520.808821927765</v>
      </c>
      <c r="BK87" s="818"/>
      <c r="BL87" s="907">
        <f t="shared" si="75"/>
        <v>46082</v>
      </c>
      <c r="BM87" s="908">
        <f t="shared" si="110"/>
        <v>29</v>
      </c>
      <c r="BN87" s="909"/>
      <c r="BO87" s="907">
        <f t="shared" si="111"/>
        <v>46147</v>
      </c>
      <c r="BP87" s="914">
        <f t="shared" si="72"/>
        <v>31</v>
      </c>
      <c r="BQ87" s="818"/>
      <c r="BR87" s="818"/>
      <c r="BS87" s="818"/>
      <c r="BT87" s="818"/>
      <c r="BU87" s="818"/>
      <c r="BV87" s="818"/>
      <c r="BW87" s="818"/>
      <c r="BX87" s="818"/>
      <c r="BY87" s="818"/>
      <c r="BZ87" s="818"/>
      <c r="CA87" s="969" t="s">
        <v>262</v>
      </c>
      <c r="CB87" s="812" t="s">
        <v>262</v>
      </c>
      <c r="CC87" s="832" t="b">
        <f t="shared" si="112"/>
        <v>1</v>
      </c>
      <c r="CD87" s="717" t="s">
        <v>262</v>
      </c>
      <c r="CE87" s="949" t="b">
        <f t="shared" si="113"/>
        <v>1</v>
      </c>
      <c r="CG87" s="842"/>
      <c r="CH87" s="878"/>
      <c r="ED87" s="947"/>
      <c r="EF87" s="947"/>
      <c r="EG87" s="947"/>
      <c r="EH87" s="947"/>
      <c r="EI87" s="947"/>
      <c r="EJ87" s="947"/>
      <c r="EK87" s="947"/>
      <c r="EL87" s="947"/>
      <c r="EW87" s="840"/>
      <c r="EX87" s="938">
        <f t="shared" si="77"/>
        <v>922155.04265624995</v>
      </c>
      <c r="EY87" s="942">
        <f t="shared" si="78"/>
        <v>0.15</v>
      </c>
      <c r="EZ87" s="938">
        <f t="shared" si="79"/>
        <v>138323.25639843749</v>
      </c>
      <c r="FA87" s="938">
        <f t="shared" si="80"/>
        <v>10000</v>
      </c>
      <c r="FB87" s="938">
        <f t="shared" si="81"/>
        <v>128323.25639843749</v>
      </c>
      <c r="FC87" s="813">
        <f t="shared" si="73"/>
        <v>48</v>
      </c>
      <c r="FD87" s="814">
        <f t="shared" si="114"/>
        <v>2673.4011749674478</v>
      </c>
      <c r="FE87" s="942">
        <f t="shared" si="115"/>
        <v>0.85</v>
      </c>
      <c r="FF87" s="938">
        <f t="shared" si="116"/>
        <v>783831.7862578124</v>
      </c>
      <c r="FG87" s="940">
        <f t="shared" si="117"/>
        <v>7045.3016908127875</v>
      </c>
      <c r="FH87" s="940">
        <f t="shared" si="118"/>
        <v>9100.9516665612191</v>
      </c>
      <c r="FI87" s="940">
        <f t="shared" si="119"/>
        <v>15520.808821927765</v>
      </c>
      <c r="FJ87" s="840"/>
      <c r="FK87" s="938">
        <f t="shared" si="126"/>
        <v>-1466.0587088531161</v>
      </c>
      <c r="FN87" s="957"/>
      <c r="FO87" s="957"/>
      <c r="FP87" s="957"/>
      <c r="FU87" s="957"/>
      <c r="FV87" s="957"/>
    </row>
    <row r="88" spans="1:178" s="717" customFormat="1" ht="14.5" hidden="1" x14ac:dyDescent="0.35">
      <c r="A88" s="813">
        <f t="shared" si="120"/>
        <v>77</v>
      </c>
      <c r="B88" s="813"/>
      <c r="C88" s="813" t="s">
        <v>378</v>
      </c>
      <c r="D88" s="813">
        <f t="shared" si="74"/>
        <v>24</v>
      </c>
      <c r="E88" s="813" t="s">
        <v>379</v>
      </c>
      <c r="F88" s="575" t="s">
        <v>550</v>
      </c>
      <c r="G88" s="575" t="s">
        <v>375</v>
      </c>
      <c r="H88" s="575">
        <v>13.5</v>
      </c>
      <c r="I88" s="814">
        <v>52000</v>
      </c>
      <c r="J88" s="815">
        <f t="shared" si="82"/>
        <v>702000</v>
      </c>
      <c r="K88" s="815"/>
      <c r="L88" s="815"/>
      <c r="M88" s="815"/>
      <c r="N88" s="815">
        <f t="shared" si="83"/>
        <v>702000</v>
      </c>
      <c r="O88" s="815">
        <f t="shared" si="84"/>
        <v>17550</v>
      </c>
      <c r="P88" s="815">
        <f t="shared" si="85"/>
        <v>719550</v>
      </c>
      <c r="Q88" s="948">
        <f t="shared" si="86"/>
        <v>1.2500000000000001E-2</v>
      </c>
      <c r="R88" s="815">
        <f t="shared" si="87"/>
        <v>8994.375</v>
      </c>
      <c r="S88" s="955">
        <v>0</v>
      </c>
      <c r="T88" s="955">
        <f t="shared" si="88"/>
        <v>728544.375</v>
      </c>
      <c r="U88" s="955"/>
      <c r="V88" s="955">
        <f t="shared" si="89"/>
        <v>27320.4140625</v>
      </c>
      <c r="W88" s="955">
        <f t="shared" si="90"/>
        <v>755864.7890625</v>
      </c>
      <c r="X88" s="955"/>
      <c r="Y88" s="955">
        <f t="shared" si="91"/>
        <v>755864.7890625</v>
      </c>
      <c r="Z88" s="955"/>
      <c r="AA88" s="955">
        <f t="shared" si="92"/>
        <v>755864.7890625</v>
      </c>
      <c r="AB88" s="955"/>
      <c r="AC88" s="955">
        <f t="shared" si="93"/>
        <v>755864.7890625</v>
      </c>
      <c r="AD88" s="955"/>
      <c r="AE88" s="955">
        <f t="shared" si="94"/>
        <v>755864.7890625</v>
      </c>
      <c r="AF88" s="955"/>
      <c r="AG88" s="955">
        <f t="shared" si="95"/>
        <v>755864.7890625</v>
      </c>
      <c r="AH88" s="955"/>
      <c r="AI88" s="955">
        <f t="shared" si="96"/>
        <v>755864.7890625</v>
      </c>
      <c r="AJ88" s="955"/>
      <c r="AK88" s="955">
        <f t="shared" si="97"/>
        <v>755864.7890625</v>
      </c>
      <c r="AL88" s="955"/>
      <c r="AM88" s="955">
        <f t="shared" si="98"/>
        <v>755864.7890625</v>
      </c>
      <c r="AN88" s="955"/>
      <c r="AO88" s="955">
        <f t="shared" si="99"/>
        <v>755864.7890625</v>
      </c>
      <c r="AP88" s="955"/>
      <c r="AQ88" s="1000">
        <f t="shared" si="100"/>
        <v>755864.7890625</v>
      </c>
      <c r="AR88" s="955"/>
      <c r="AS88" s="1000">
        <f t="shared" si="101"/>
        <v>755864.7890625</v>
      </c>
      <c r="AT88" s="815">
        <f t="shared" si="102"/>
        <v>755864.7890625</v>
      </c>
      <c r="AU88" s="815">
        <f t="shared" si="103"/>
        <v>90703.774687500001</v>
      </c>
      <c r="AV88" s="815">
        <f t="shared" si="104"/>
        <v>75586.478906250006</v>
      </c>
      <c r="AW88" s="815">
        <f t="shared" si="105"/>
        <v>922155.04265624995</v>
      </c>
      <c r="AX88" s="816">
        <v>0.15</v>
      </c>
      <c r="AY88" s="815">
        <f t="shared" si="121"/>
        <v>138323.25639843749</v>
      </c>
      <c r="AZ88" s="815">
        <v>10000</v>
      </c>
      <c r="BA88" s="815">
        <f t="shared" si="122"/>
        <v>128323.25639843749</v>
      </c>
      <c r="BB88" s="825">
        <f t="shared" si="71"/>
        <v>31</v>
      </c>
      <c r="BC88" s="814">
        <f t="shared" si="123"/>
        <v>4139.4598838205638</v>
      </c>
      <c r="BD88" s="817">
        <f t="shared" si="106"/>
        <v>0.85</v>
      </c>
      <c r="BE88" s="815">
        <f t="shared" si="124"/>
        <v>783831.7862578124</v>
      </c>
      <c r="BF88" s="833">
        <f t="shared" si="107"/>
        <v>7045.3016908127875</v>
      </c>
      <c r="BG88" s="833">
        <f t="shared" si="108"/>
        <v>9100.9516665612191</v>
      </c>
      <c r="BH88" s="833">
        <f t="shared" si="109"/>
        <v>15520.808821927765</v>
      </c>
      <c r="BK88" s="818"/>
      <c r="BL88" s="907">
        <f t="shared" si="75"/>
        <v>46082</v>
      </c>
      <c r="BM88" s="908">
        <f t="shared" si="110"/>
        <v>29</v>
      </c>
      <c r="BN88" s="909"/>
      <c r="BO88" s="907">
        <f t="shared" si="111"/>
        <v>46147</v>
      </c>
      <c r="BP88" s="914">
        <f t="shared" si="72"/>
        <v>31</v>
      </c>
      <c r="BQ88" s="818"/>
      <c r="BR88" s="818"/>
      <c r="BS88" s="818"/>
      <c r="BT88" s="818"/>
      <c r="BU88" s="818"/>
      <c r="BV88" s="818"/>
      <c r="BW88" s="818"/>
      <c r="BX88" s="818"/>
      <c r="BY88" s="818"/>
      <c r="BZ88" s="818"/>
      <c r="CA88" s="969" t="s">
        <v>262</v>
      </c>
      <c r="CB88" s="812" t="s">
        <v>262</v>
      </c>
      <c r="CC88" s="832" t="b">
        <f t="shared" si="112"/>
        <v>1</v>
      </c>
      <c r="CD88" s="717" t="s">
        <v>262</v>
      </c>
      <c r="CE88" s="949" t="b">
        <f t="shared" si="113"/>
        <v>1</v>
      </c>
      <c r="CG88" s="842"/>
      <c r="CH88" s="878"/>
      <c r="ED88" s="947"/>
      <c r="EF88" s="947"/>
      <c r="EG88" s="947"/>
      <c r="EH88" s="947"/>
      <c r="EI88" s="947"/>
      <c r="EJ88" s="947"/>
      <c r="EK88" s="947"/>
      <c r="EL88" s="947"/>
      <c r="EW88" s="840"/>
      <c r="EX88" s="938">
        <f t="shared" si="77"/>
        <v>922155.04265624995</v>
      </c>
      <c r="EY88" s="942">
        <f t="shared" si="78"/>
        <v>0.15</v>
      </c>
      <c r="EZ88" s="938">
        <f t="shared" si="79"/>
        <v>138323.25639843749</v>
      </c>
      <c r="FA88" s="938">
        <f t="shared" si="80"/>
        <v>10000</v>
      </c>
      <c r="FB88" s="938">
        <f t="shared" si="81"/>
        <v>128323.25639843749</v>
      </c>
      <c r="FC88" s="813">
        <f t="shared" si="73"/>
        <v>48</v>
      </c>
      <c r="FD88" s="814">
        <f t="shared" si="114"/>
        <v>2673.4011749674478</v>
      </c>
      <c r="FE88" s="942">
        <f t="shared" si="115"/>
        <v>0.85</v>
      </c>
      <c r="FF88" s="938">
        <f t="shared" si="116"/>
        <v>783831.7862578124</v>
      </c>
      <c r="FG88" s="940">
        <f t="shared" si="117"/>
        <v>7045.3016908127875</v>
      </c>
      <c r="FH88" s="940">
        <f t="shared" si="118"/>
        <v>9100.9516665612191</v>
      </c>
      <c r="FI88" s="940">
        <f t="shared" si="119"/>
        <v>15520.808821927765</v>
      </c>
      <c r="FJ88" s="840"/>
      <c r="FK88" s="938">
        <f t="shared" si="126"/>
        <v>-1466.0587088531161</v>
      </c>
      <c r="FN88" s="957"/>
      <c r="FO88" s="957"/>
      <c r="FP88" s="957"/>
      <c r="FU88" s="957"/>
      <c r="FV88" s="957"/>
    </row>
    <row r="89" spans="1:178" s="717" customFormat="1" ht="14.5" hidden="1" x14ac:dyDescent="0.35">
      <c r="A89" s="813">
        <f t="shared" si="120"/>
        <v>78</v>
      </c>
      <c r="B89" s="813"/>
      <c r="C89" s="813" t="s">
        <v>378</v>
      </c>
      <c r="D89" s="813">
        <f t="shared" si="74"/>
        <v>25</v>
      </c>
      <c r="E89" s="813" t="s">
        <v>379</v>
      </c>
      <c r="F89" s="575" t="s">
        <v>551</v>
      </c>
      <c r="G89" s="575" t="s">
        <v>375</v>
      </c>
      <c r="H89" s="575">
        <v>13.5</v>
      </c>
      <c r="I89" s="814">
        <v>52000</v>
      </c>
      <c r="J89" s="815">
        <f t="shared" si="82"/>
        <v>702000</v>
      </c>
      <c r="K89" s="815"/>
      <c r="L89" s="815"/>
      <c r="M89" s="815"/>
      <c r="N89" s="815">
        <f t="shared" si="83"/>
        <v>702000</v>
      </c>
      <c r="O89" s="815">
        <f t="shared" si="84"/>
        <v>17550</v>
      </c>
      <c r="P89" s="815">
        <f t="shared" si="85"/>
        <v>719550</v>
      </c>
      <c r="Q89" s="948">
        <f t="shared" si="86"/>
        <v>1.2500000000000001E-2</v>
      </c>
      <c r="R89" s="815">
        <f t="shared" si="87"/>
        <v>8994.375</v>
      </c>
      <c r="S89" s="955" t="s">
        <v>450</v>
      </c>
      <c r="T89" s="955">
        <f t="shared" si="88"/>
        <v>728544.375</v>
      </c>
      <c r="U89" s="955"/>
      <c r="V89" s="955">
        <f t="shared" si="89"/>
        <v>27320.4140625</v>
      </c>
      <c r="W89" s="955">
        <f t="shared" si="90"/>
        <v>755864.7890625</v>
      </c>
      <c r="X89" s="955"/>
      <c r="Y89" s="955">
        <f t="shared" si="91"/>
        <v>755864.7890625</v>
      </c>
      <c r="Z89" s="955"/>
      <c r="AA89" s="955">
        <f t="shared" si="92"/>
        <v>755864.7890625</v>
      </c>
      <c r="AB89" s="955"/>
      <c r="AC89" s="955">
        <f t="shared" si="93"/>
        <v>755864.7890625</v>
      </c>
      <c r="AD89" s="955"/>
      <c r="AE89" s="955">
        <f t="shared" si="94"/>
        <v>755864.7890625</v>
      </c>
      <c r="AF89" s="955"/>
      <c r="AG89" s="955">
        <f t="shared" si="95"/>
        <v>755864.7890625</v>
      </c>
      <c r="AH89" s="955"/>
      <c r="AI89" s="955">
        <f t="shared" si="96"/>
        <v>755864.7890625</v>
      </c>
      <c r="AJ89" s="955"/>
      <c r="AK89" s="955">
        <f t="shared" si="97"/>
        <v>755864.7890625</v>
      </c>
      <c r="AL89" s="955"/>
      <c r="AM89" s="955">
        <f t="shared" si="98"/>
        <v>755864.7890625</v>
      </c>
      <c r="AN89" s="955"/>
      <c r="AO89" s="955">
        <f t="shared" si="99"/>
        <v>755864.7890625</v>
      </c>
      <c r="AP89" s="955"/>
      <c r="AQ89" s="1000">
        <f t="shared" si="100"/>
        <v>755864.7890625</v>
      </c>
      <c r="AR89" s="955"/>
      <c r="AS89" s="1000">
        <f t="shared" si="101"/>
        <v>755864.7890625</v>
      </c>
      <c r="AT89" s="815">
        <f t="shared" si="102"/>
        <v>755864.7890625</v>
      </c>
      <c r="AU89" s="815">
        <f t="shared" si="103"/>
        <v>90703.774687500001</v>
      </c>
      <c r="AV89" s="815">
        <f t="shared" si="104"/>
        <v>75586.478906250006</v>
      </c>
      <c r="AW89" s="815">
        <f t="shared" si="105"/>
        <v>922155.04265624995</v>
      </c>
      <c r="AX89" s="816">
        <v>0.15</v>
      </c>
      <c r="AY89" s="815">
        <f t="shared" si="121"/>
        <v>138323.25639843749</v>
      </c>
      <c r="AZ89" s="815">
        <v>10000</v>
      </c>
      <c r="BA89" s="815">
        <f t="shared" si="122"/>
        <v>128323.25639843749</v>
      </c>
      <c r="BB89" s="825">
        <f t="shared" si="71"/>
        <v>31</v>
      </c>
      <c r="BC89" s="814">
        <f t="shared" si="123"/>
        <v>4139.4598838205638</v>
      </c>
      <c r="BD89" s="817">
        <f t="shared" si="106"/>
        <v>0.85</v>
      </c>
      <c r="BE89" s="815">
        <f t="shared" si="124"/>
        <v>783831.7862578124</v>
      </c>
      <c r="BF89" s="833">
        <f t="shared" si="107"/>
        <v>7045.3016908127875</v>
      </c>
      <c r="BG89" s="833">
        <f t="shared" si="108"/>
        <v>9100.9516665612191</v>
      </c>
      <c r="BH89" s="833">
        <f t="shared" si="109"/>
        <v>15520.808821927765</v>
      </c>
      <c r="BK89" s="818"/>
      <c r="BL89" s="907">
        <f t="shared" si="75"/>
        <v>46082</v>
      </c>
      <c r="BM89" s="908">
        <f t="shared" si="110"/>
        <v>29</v>
      </c>
      <c r="BN89" s="909"/>
      <c r="BO89" s="907">
        <f t="shared" si="111"/>
        <v>46147</v>
      </c>
      <c r="BP89" s="914">
        <f t="shared" si="72"/>
        <v>31</v>
      </c>
      <c r="BQ89" s="818"/>
      <c r="BR89" s="818"/>
      <c r="BS89" s="818"/>
      <c r="BT89" s="818"/>
      <c r="BU89" s="818"/>
      <c r="BV89" s="818"/>
      <c r="BW89" s="818"/>
      <c r="BX89" s="818"/>
      <c r="BY89" s="818"/>
      <c r="BZ89" s="818"/>
      <c r="CA89" s="969" t="s">
        <v>262</v>
      </c>
      <c r="CB89" s="812" t="s">
        <v>262</v>
      </c>
      <c r="CC89" s="832" t="b">
        <f t="shared" si="112"/>
        <v>1</v>
      </c>
      <c r="CD89" s="717" t="s">
        <v>262</v>
      </c>
      <c r="CE89" s="949" t="b">
        <f t="shared" si="113"/>
        <v>1</v>
      </c>
      <c r="CG89" s="842"/>
      <c r="CH89" s="878"/>
      <c r="ED89" s="947"/>
      <c r="EF89" s="947"/>
      <c r="EG89" s="947"/>
      <c r="EH89" s="947"/>
      <c r="EI89" s="947"/>
      <c r="EJ89" s="947"/>
      <c r="EK89" s="947"/>
      <c r="EL89" s="947"/>
      <c r="EW89" s="840"/>
      <c r="EX89" s="938">
        <f t="shared" si="77"/>
        <v>922155.04265624995</v>
      </c>
      <c r="EY89" s="942">
        <f t="shared" si="78"/>
        <v>0.15</v>
      </c>
      <c r="EZ89" s="938">
        <f t="shared" si="79"/>
        <v>138323.25639843749</v>
      </c>
      <c r="FA89" s="938">
        <f t="shared" si="80"/>
        <v>10000</v>
      </c>
      <c r="FB89" s="938">
        <f t="shared" si="81"/>
        <v>128323.25639843749</v>
      </c>
      <c r="FC89" s="813">
        <f t="shared" si="73"/>
        <v>48</v>
      </c>
      <c r="FD89" s="814">
        <f t="shared" si="114"/>
        <v>2673.4011749674478</v>
      </c>
      <c r="FE89" s="942">
        <f t="shared" si="115"/>
        <v>0.85</v>
      </c>
      <c r="FF89" s="938">
        <f t="shared" si="116"/>
        <v>783831.7862578124</v>
      </c>
      <c r="FG89" s="940">
        <f t="shared" si="117"/>
        <v>7045.3016908127875</v>
      </c>
      <c r="FH89" s="940">
        <f t="shared" si="118"/>
        <v>9100.9516665612191</v>
      </c>
      <c r="FI89" s="940">
        <f t="shared" si="119"/>
        <v>15520.808821927765</v>
      </c>
      <c r="FJ89" s="840"/>
      <c r="FK89" s="938">
        <f t="shared" si="126"/>
        <v>-1466.0587088531161</v>
      </c>
      <c r="FN89" s="957"/>
      <c r="FO89" s="957"/>
      <c r="FP89" s="957"/>
      <c r="FU89" s="957"/>
      <c r="FV89" s="957"/>
    </row>
    <row r="90" spans="1:178" s="717" customFormat="1" ht="14.5" hidden="1" x14ac:dyDescent="0.35">
      <c r="A90" s="813">
        <f t="shared" si="120"/>
        <v>79</v>
      </c>
      <c r="B90" s="813"/>
      <c r="C90" s="813" t="s">
        <v>378</v>
      </c>
      <c r="D90" s="813">
        <f t="shared" si="74"/>
        <v>26</v>
      </c>
      <c r="E90" s="813" t="s">
        <v>379</v>
      </c>
      <c r="F90" s="575" t="s">
        <v>552</v>
      </c>
      <c r="G90" s="575" t="s">
        <v>375</v>
      </c>
      <c r="H90" s="575">
        <v>13.5</v>
      </c>
      <c r="I90" s="814">
        <v>52000</v>
      </c>
      <c r="J90" s="815">
        <f t="shared" si="82"/>
        <v>702000</v>
      </c>
      <c r="K90" s="815"/>
      <c r="L90" s="815"/>
      <c r="M90" s="815"/>
      <c r="N90" s="815">
        <f t="shared" si="83"/>
        <v>702000</v>
      </c>
      <c r="O90" s="815">
        <f t="shared" si="84"/>
        <v>17550</v>
      </c>
      <c r="P90" s="815">
        <f t="shared" si="85"/>
        <v>719550</v>
      </c>
      <c r="Q90" s="948">
        <f t="shared" si="86"/>
        <v>1.2500000000000001E-2</v>
      </c>
      <c r="R90" s="815">
        <f t="shared" si="87"/>
        <v>8994.375</v>
      </c>
      <c r="S90" s="955" t="s">
        <v>450</v>
      </c>
      <c r="T90" s="955">
        <f t="shared" si="88"/>
        <v>728544.375</v>
      </c>
      <c r="U90" s="955"/>
      <c r="V90" s="955">
        <f t="shared" si="89"/>
        <v>27320.4140625</v>
      </c>
      <c r="W90" s="955">
        <f t="shared" si="90"/>
        <v>755864.7890625</v>
      </c>
      <c r="X90" s="955"/>
      <c r="Y90" s="955">
        <f t="shared" si="91"/>
        <v>755864.7890625</v>
      </c>
      <c r="Z90" s="955"/>
      <c r="AA90" s="955">
        <f t="shared" si="92"/>
        <v>755864.7890625</v>
      </c>
      <c r="AB90" s="955"/>
      <c r="AC90" s="955">
        <f t="shared" si="93"/>
        <v>755864.7890625</v>
      </c>
      <c r="AD90" s="955"/>
      <c r="AE90" s="955">
        <f t="shared" si="94"/>
        <v>755864.7890625</v>
      </c>
      <c r="AF90" s="955"/>
      <c r="AG90" s="955">
        <f t="shared" si="95"/>
        <v>755864.7890625</v>
      </c>
      <c r="AH90" s="955"/>
      <c r="AI90" s="955">
        <f t="shared" si="96"/>
        <v>755864.7890625</v>
      </c>
      <c r="AJ90" s="955"/>
      <c r="AK90" s="955">
        <f t="shared" si="97"/>
        <v>755864.7890625</v>
      </c>
      <c r="AL90" s="955"/>
      <c r="AM90" s="955">
        <f t="shared" si="98"/>
        <v>755864.7890625</v>
      </c>
      <c r="AN90" s="955"/>
      <c r="AO90" s="955">
        <f t="shared" si="99"/>
        <v>755864.7890625</v>
      </c>
      <c r="AP90" s="955"/>
      <c r="AQ90" s="1000">
        <f t="shared" si="100"/>
        <v>755864.7890625</v>
      </c>
      <c r="AR90" s="955"/>
      <c r="AS90" s="1000">
        <f t="shared" si="101"/>
        <v>755864.7890625</v>
      </c>
      <c r="AT90" s="815">
        <f t="shared" si="102"/>
        <v>755864.7890625</v>
      </c>
      <c r="AU90" s="815">
        <f t="shared" si="103"/>
        <v>90703.774687500001</v>
      </c>
      <c r="AV90" s="815">
        <f t="shared" si="104"/>
        <v>75586.478906250006</v>
      </c>
      <c r="AW90" s="815">
        <f t="shared" si="105"/>
        <v>922155.04265624995</v>
      </c>
      <c r="AX90" s="816">
        <v>0.15</v>
      </c>
      <c r="AY90" s="815">
        <f t="shared" si="121"/>
        <v>138323.25639843749</v>
      </c>
      <c r="AZ90" s="815">
        <v>10000</v>
      </c>
      <c r="BA90" s="815">
        <f t="shared" si="122"/>
        <v>128323.25639843749</v>
      </c>
      <c r="BB90" s="825">
        <f t="shared" si="71"/>
        <v>31</v>
      </c>
      <c r="BC90" s="814">
        <f t="shared" si="123"/>
        <v>4139.4598838205638</v>
      </c>
      <c r="BD90" s="817">
        <f t="shared" si="106"/>
        <v>0.85</v>
      </c>
      <c r="BE90" s="815">
        <f t="shared" si="124"/>
        <v>783831.7862578124</v>
      </c>
      <c r="BF90" s="833">
        <f t="shared" si="107"/>
        <v>7045.3016908127875</v>
      </c>
      <c r="BG90" s="833">
        <f t="shared" si="108"/>
        <v>9100.9516665612191</v>
      </c>
      <c r="BH90" s="833">
        <f t="shared" si="109"/>
        <v>15520.808821927765</v>
      </c>
      <c r="BK90" s="818"/>
      <c r="BL90" s="907">
        <f t="shared" si="75"/>
        <v>46082</v>
      </c>
      <c r="BM90" s="908">
        <f t="shared" si="110"/>
        <v>29</v>
      </c>
      <c r="BN90" s="909"/>
      <c r="BO90" s="907">
        <f t="shared" si="111"/>
        <v>46147</v>
      </c>
      <c r="BP90" s="914">
        <f t="shared" si="72"/>
        <v>31</v>
      </c>
      <c r="BQ90" s="818"/>
      <c r="BR90" s="818"/>
      <c r="BS90" s="818"/>
      <c r="BT90" s="818"/>
      <c r="BU90" s="818"/>
      <c r="BV90" s="818"/>
      <c r="BW90" s="818"/>
      <c r="BX90" s="818"/>
      <c r="BY90" s="818"/>
      <c r="BZ90" s="818"/>
      <c r="CA90" s="969" t="s">
        <v>262</v>
      </c>
      <c r="CB90" s="812" t="s">
        <v>262</v>
      </c>
      <c r="CC90" s="832" t="b">
        <f t="shared" si="112"/>
        <v>1</v>
      </c>
      <c r="CD90" s="717" t="s">
        <v>262</v>
      </c>
      <c r="CE90" s="949" t="b">
        <f t="shared" si="113"/>
        <v>1</v>
      </c>
      <c r="CG90" s="842"/>
      <c r="CH90" s="878"/>
      <c r="ED90" s="947"/>
      <c r="EF90" s="947"/>
      <c r="EG90" s="947"/>
      <c r="EH90" s="947"/>
      <c r="EI90" s="947"/>
      <c r="EJ90" s="947"/>
      <c r="EK90" s="947"/>
      <c r="EL90" s="947"/>
      <c r="EW90" s="840"/>
      <c r="EX90" s="938">
        <f t="shared" si="77"/>
        <v>922155.04265624995</v>
      </c>
      <c r="EY90" s="942">
        <f t="shared" si="78"/>
        <v>0.15</v>
      </c>
      <c r="EZ90" s="938">
        <f t="shared" si="79"/>
        <v>138323.25639843749</v>
      </c>
      <c r="FA90" s="938">
        <f t="shared" si="80"/>
        <v>10000</v>
      </c>
      <c r="FB90" s="938">
        <f t="shared" si="81"/>
        <v>128323.25639843749</v>
      </c>
      <c r="FC90" s="813">
        <f t="shared" si="73"/>
        <v>48</v>
      </c>
      <c r="FD90" s="814">
        <f t="shared" si="114"/>
        <v>2673.4011749674478</v>
      </c>
      <c r="FE90" s="942">
        <f t="shared" si="115"/>
        <v>0.85</v>
      </c>
      <c r="FF90" s="938">
        <f t="shared" si="116"/>
        <v>783831.7862578124</v>
      </c>
      <c r="FG90" s="940">
        <f t="shared" si="117"/>
        <v>7045.3016908127875</v>
      </c>
      <c r="FH90" s="940">
        <f t="shared" si="118"/>
        <v>9100.9516665612191</v>
      </c>
      <c r="FI90" s="940">
        <f t="shared" si="119"/>
        <v>15520.808821927765</v>
      </c>
      <c r="FJ90" s="840"/>
      <c r="FK90" s="938">
        <f t="shared" si="126"/>
        <v>-1466.0587088531161</v>
      </c>
      <c r="FN90" s="957"/>
      <c r="FO90" s="957"/>
      <c r="FP90" s="957"/>
      <c r="FU90" s="957"/>
      <c r="FV90" s="957"/>
    </row>
    <row r="91" spans="1:178" s="717" customFormat="1" ht="14.5" hidden="1" x14ac:dyDescent="0.35">
      <c r="A91" s="813">
        <f t="shared" si="120"/>
        <v>80</v>
      </c>
      <c r="B91" s="813"/>
      <c r="C91" s="813" t="s">
        <v>378</v>
      </c>
      <c r="D91" s="813">
        <f t="shared" si="74"/>
        <v>27</v>
      </c>
      <c r="E91" s="813" t="s">
        <v>379</v>
      </c>
      <c r="F91" s="575" t="s">
        <v>553</v>
      </c>
      <c r="G91" s="575" t="s">
        <v>375</v>
      </c>
      <c r="H91" s="575">
        <v>13.5</v>
      </c>
      <c r="I91" s="814">
        <v>52000</v>
      </c>
      <c r="J91" s="815">
        <f t="shared" si="82"/>
        <v>702000</v>
      </c>
      <c r="K91" s="815"/>
      <c r="L91" s="815"/>
      <c r="M91" s="815"/>
      <c r="N91" s="815">
        <f t="shared" si="83"/>
        <v>702000</v>
      </c>
      <c r="O91" s="815">
        <f t="shared" si="84"/>
        <v>17550</v>
      </c>
      <c r="P91" s="815">
        <f t="shared" si="85"/>
        <v>719550</v>
      </c>
      <c r="Q91" s="948">
        <f t="shared" si="86"/>
        <v>1.2500000000000001E-2</v>
      </c>
      <c r="R91" s="815">
        <f t="shared" si="87"/>
        <v>8994.375</v>
      </c>
      <c r="S91" s="955" t="s">
        <v>450</v>
      </c>
      <c r="T91" s="955">
        <f t="shared" si="88"/>
        <v>728544.375</v>
      </c>
      <c r="U91" s="955"/>
      <c r="V91" s="955">
        <f t="shared" si="89"/>
        <v>27320.4140625</v>
      </c>
      <c r="W91" s="955">
        <f t="shared" si="90"/>
        <v>755864.7890625</v>
      </c>
      <c r="X91" s="955"/>
      <c r="Y91" s="955">
        <f t="shared" si="91"/>
        <v>755864.7890625</v>
      </c>
      <c r="Z91" s="955"/>
      <c r="AA91" s="955">
        <f t="shared" si="92"/>
        <v>755864.7890625</v>
      </c>
      <c r="AB91" s="955"/>
      <c r="AC91" s="955">
        <f t="shared" si="93"/>
        <v>755864.7890625</v>
      </c>
      <c r="AD91" s="955"/>
      <c r="AE91" s="955">
        <f t="shared" si="94"/>
        <v>755864.7890625</v>
      </c>
      <c r="AF91" s="955"/>
      <c r="AG91" s="955">
        <f t="shared" si="95"/>
        <v>755864.7890625</v>
      </c>
      <c r="AH91" s="955"/>
      <c r="AI91" s="955">
        <f t="shared" si="96"/>
        <v>755864.7890625</v>
      </c>
      <c r="AJ91" s="955"/>
      <c r="AK91" s="955">
        <f t="shared" si="97"/>
        <v>755864.7890625</v>
      </c>
      <c r="AL91" s="955"/>
      <c r="AM91" s="955">
        <f t="shared" si="98"/>
        <v>755864.7890625</v>
      </c>
      <c r="AN91" s="955"/>
      <c r="AO91" s="955">
        <f t="shared" si="99"/>
        <v>755864.7890625</v>
      </c>
      <c r="AP91" s="955"/>
      <c r="AQ91" s="1000">
        <f t="shared" si="100"/>
        <v>755864.7890625</v>
      </c>
      <c r="AR91" s="955"/>
      <c r="AS91" s="1000">
        <f t="shared" si="101"/>
        <v>755864.7890625</v>
      </c>
      <c r="AT91" s="815">
        <f t="shared" si="102"/>
        <v>755864.7890625</v>
      </c>
      <c r="AU91" s="815">
        <f t="shared" si="103"/>
        <v>90703.774687500001</v>
      </c>
      <c r="AV91" s="815">
        <f t="shared" si="104"/>
        <v>75586.478906250006</v>
      </c>
      <c r="AW91" s="815">
        <f t="shared" si="105"/>
        <v>922155.04265624995</v>
      </c>
      <c r="AX91" s="816">
        <v>0.15</v>
      </c>
      <c r="AY91" s="815">
        <f t="shared" si="121"/>
        <v>138323.25639843749</v>
      </c>
      <c r="AZ91" s="815">
        <v>10000</v>
      </c>
      <c r="BA91" s="815">
        <f t="shared" si="122"/>
        <v>128323.25639843749</v>
      </c>
      <c r="BB91" s="825">
        <f t="shared" si="71"/>
        <v>31</v>
      </c>
      <c r="BC91" s="814">
        <f t="shared" si="123"/>
        <v>4139.4598838205638</v>
      </c>
      <c r="BD91" s="817">
        <f t="shared" si="106"/>
        <v>0.85</v>
      </c>
      <c r="BE91" s="815">
        <f t="shared" si="124"/>
        <v>783831.7862578124</v>
      </c>
      <c r="BF91" s="833">
        <f t="shared" si="107"/>
        <v>7045.3016908127875</v>
      </c>
      <c r="BG91" s="833">
        <f t="shared" si="108"/>
        <v>9100.9516665612191</v>
      </c>
      <c r="BH91" s="833">
        <f t="shared" si="109"/>
        <v>15520.808821927765</v>
      </c>
      <c r="BK91" s="818"/>
      <c r="BL91" s="907">
        <f t="shared" si="75"/>
        <v>46082</v>
      </c>
      <c r="BM91" s="908">
        <f t="shared" si="110"/>
        <v>29</v>
      </c>
      <c r="BN91" s="909"/>
      <c r="BO91" s="907">
        <f t="shared" si="111"/>
        <v>46147</v>
      </c>
      <c r="BP91" s="914">
        <f t="shared" si="72"/>
        <v>31</v>
      </c>
      <c r="BQ91" s="818"/>
      <c r="BR91" s="818"/>
      <c r="BS91" s="818"/>
      <c r="BT91" s="818"/>
      <c r="BU91" s="818"/>
      <c r="BV91" s="818"/>
      <c r="BW91" s="818"/>
      <c r="BX91" s="818"/>
      <c r="BY91" s="818"/>
      <c r="BZ91" s="818"/>
      <c r="CA91" s="969" t="s">
        <v>262</v>
      </c>
      <c r="CB91" s="812" t="s">
        <v>262</v>
      </c>
      <c r="CC91" s="832" t="b">
        <f t="shared" si="112"/>
        <v>1</v>
      </c>
      <c r="CD91" s="717" t="s">
        <v>262</v>
      </c>
      <c r="CE91" s="949" t="b">
        <f t="shared" si="113"/>
        <v>1</v>
      </c>
      <c r="CG91" s="842"/>
      <c r="CH91" s="878"/>
      <c r="ED91" s="947"/>
      <c r="EF91" s="947"/>
      <c r="EG91" s="947"/>
      <c r="EH91" s="947"/>
      <c r="EI91" s="947"/>
      <c r="EJ91" s="947"/>
      <c r="EK91" s="947"/>
      <c r="EL91" s="947"/>
      <c r="EW91" s="840"/>
      <c r="EX91" s="938">
        <f t="shared" si="77"/>
        <v>922155.04265624995</v>
      </c>
      <c r="EY91" s="942">
        <f t="shared" si="78"/>
        <v>0.15</v>
      </c>
      <c r="EZ91" s="938">
        <f t="shared" si="79"/>
        <v>138323.25639843749</v>
      </c>
      <c r="FA91" s="938">
        <f t="shared" si="80"/>
        <v>10000</v>
      </c>
      <c r="FB91" s="938">
        <f t="shared" si="81"/>
        <v>128323.25639843749</v>
      </c>
      <c r="FC91" s="813">
        <f t="shared" si="73"/>
        <v>48</v>
      </c>
      <c r="FD91" s="814">
        <f t="shared" si="114"/>
        <v>2673.4011749674478</v>
      </c>
      <c r="FE91" s="942">
        <f t="shared" si="115"/>
        <v>0.85</v>
      </c>
      <c r="FF91" s="938">
        <f t="shared" si="116"/>
        <v>783831.7862578124</v>
      </c>
      <c r="FG91" s="940">
        <f t="shared" si="117"/>
        <v>7045.3016908127875</v>
      </c>
      <c r="FH91" s="940">
        <f t="shared" si="118"/>
        <v>9100.9516665612191</v>
      </c>
      <c r="FI91" s="940">
        <f t="shared" si="119"/>
        <v>15520.808821927765</v>
      </c>
      <c r="FJ91" s="840"/>
      <c r="FK91" s="938">
        <f t="shared" si="126"/>
        <v>-1466.0587088531161</v>
      </c>
      <c r="FN91" s="957"/>
      <c r="FO91" s="957"/>
      <c r="FP91" s="957"/>
      <c r="FU91" s="957"/>
      <c r="FV91" s="957"/>
    </row>
    <row r="92" spans="1:178" s="717" customFormat="1" ht="14.5" hidden="1" x14ac:dyDescent="0.35">
      <c r="A92" s="813">
        <f t="shared" si="120"/>
        <v>81</v>
      </c>
      <c r="B92" s="813"/>
      <c r="C92" s="813" t="s">
        <v>378</v>
      </c>
      <c r="D92" s="813">
        <f t="shared" si="74"/>
        <v>28</v>
      </c>
      <c r="E92" s="813" t="s">
        <v>379</v>
      </c>
      <c r="F92" s="575" t="s">
        <v>554</v>
      </c>
      <c r="G92" s="575" t="s">
        <v>375</v>
      </c>
      <c r="H92" s="575">
        <v>13.5</v>
      </c>
      <c r="I92" s="814">
        <v>52000</v>
      </c>
      <c r="J92" s="815">
        <f t="shared" si="82"/>
        <v>702000</v>
      </c>
      <c r="K92" s="815"/>
      <c r="L92" s="815"/>
      <c r="M92" s="815"/>
      <c r="N92" s="815">
        <f t="shared" si="83"/>
        <v>702000</v>
      </c>
      <c r="O92" s="815">
        <f t="shared" si="84"/>
        <v>17550</v>
      </c>
      <c r="P92" s="815">
        <f t="shared" si="85"/>
        <v>719550</v>
      </c>
      <c r="Q92" s="948">
        <f t="shared" si="86"/>
        <v>1.2500000000000001E-2</v>
      </c>
      <c r="R92" s="815">
        <f t="shared" si="87"/>
        <v>8994.375</v>
      </c>
      <c r="S92" s="955" t="s">
        <v>450</v>
      </c>
      <c r="T92" s="955">
        <f t="shared" si="88"/>
        <v>728544.375</v>
      </c>
      <c r="U92" s="955"/>
      <c r="V92" s="955">
        <f t="shared" si="89"/>
        <v>27320.4140625</v>
      </c>
      <c r="W92" s="955">
        <f t="shared" si="90"/>
        <v>755864.7890625</v>
      </c>
      <c r="X92" s="955"/>
      <c r="Y92" s="955">
        <f t="shared" si="91"/>
        <v>755864.7890625</v>
      </c>
      <c r="Z92" s="955"/>
      <c r="AA92" s="955">
        <f t="shared" si="92"/>
        <v>755864.7890625</v>
      </c>
      <c r="AB92" s="955"/>
      <c r="AC92" s="955">
        <f t="shared" si="93"/>
        <v>755864.7890625</v>
      </c>
      <c r="AD92" s="955"/>
      <c r="AE92" s="955">
        <f t="shared" si="94"/>
        <v>755864.7890625</v>
      </c>
      <c r="AF92" s="955"/>
      <c r="AG92" s="955">
        <f t="shared" si="95"/>
        <v>755864.7890625</v>
      </c>
      <c r="AH92" s="955"/>
      <c r="AI92" s="955">
        <f t="shared" si="96"/>
        <v>755864.7890625</v>
      </c>
      <c r="AJ92" s="955"/>
      <c r="AK92" s="955">
        <f t="shared" si="97"/>
        <v>755864.7890625</v>
      </c>
      <c r="AL92" s="955"/>
      <c r="AM92" s="955">
        <f t="shared" si="98"/>
        <v>755864.7890625</v>
      </c>
      <c r="AN92" s="955"/>
      <c r="AO92" s="955">
        <f t="shared" si="99"/>
        <v>755864.7890625</v>
      </c>
      <c r="AP92" s="955"/>
      <c r="AQ92" s="1000">
        <f t="shared" si="100"/>
        <v>755864.7890625</v>
      </c>
      <c r="AR92" s="955"/>
      <c r="AS92" s="1000">
        <f t="shared" si="101"/>
        <v>755864.7890625</v>
      </c>
      <c r="AT92" s="815">
        <f t="shared" si="102"/>
        <v>755864.7890625</v>
      </c>
      <c r="AU92" s="815">
        <f t="shared" si="103"/>
        <v>90703.774687500001</v>
      </c>
      <c r="AV92" s="815">
        <f t="shared" si="104"/>
        <v>75586.478906250006</v>
      </c>
      <c r="AW92" s="815">
        <f t="shared" si="105"/>
        <v>922155.04265624995</v>
      </c>
      <c r="AX92" s="816">
        <v>0.15</v>
      </c>
      <c r="AY92" s="815">
        <f t="shared" si="121"/>
        <v>138323.25639843749</v>
      </c>
      <c r="AZ92" s="815">
        <v>10000</v>
      </c>
      <c r="BA92" s="815">
        <f t="shared" si="122"/>
        <v>128323.25639843749</v>
      </c>
      <c r="BB92" s="825">
        <f t="shared" si="71"/>
        <v>31</v>
      </c>
      <c r="BC92" s="814">
        <f t="shared" si="123"/>
        <v>4139.4598838205638</v>
      </c>
      <c r="BD92" s="817">
        <f t="shared" si="106"/>
        <v>0.85</v>
      </c>
      <c r="BE92" s="815">
        <f t="shared" si="124"/>
        <v>783831.7862578124</v>
      </c>
      <c r="BF92" s="833">
        <f t="shared" si="107"/>
        <v>7045.3016908127875</v>
      </c>
      <c r="BG92" s="833">
        <f t="shared" si="108"/>
        <v>9100.9516665612191</v>
      </c>
      <c r="BH92" s="833">
        <f t="shared" si="109"/>
        <v>15520.808821927765</v>
      </c>
      <c r="BK92" s="818"/>
      <c r="BL92" s="907">
        <f t="shared" si="75"/>
        <v>46082</v>
      </c>
      <c r="BM92" s="908">
        <f t="shared" si="110"/>
        <v>29</v>
      </c>
      <c r="BN92" s="909"/>
      <c r="BO92" s="907">
        <f t="shared" si="111"/>
        <v>46147</v>
      </c>
      <c r="BP92" s="914">
        <f t="shared" si="72"/>
        <v>31</v>
      </c>
      <c r="BQ92" s="818"/>
      <c r="BR92" s="818"/>
      <c r="BS92" s="818"/>
      <c r="BT92" s="818"/>
      <c r="BU92" s="818"/>
      <c r="BV92" s="818"/>
      <c r="BW92" s="818"/>
      <c r="BX92" s="818"/>
      <c r="BY92" s="818"/>
      <c r="BZ92" s="818"/>
      <c r="CA92" s="969" t="s">
        <v>262</v>
      </c>
      <c r="CB92" s="812" t="s">
        <v>262</v>
      </c>
      <c r="CC92" s="832" t="b">
        <f t="shared" si="112"/>
        <v>1</v>
      </c>
      <c r="CD92" s="717" t="s">
        <v>262</v>
      </c>
      <c r="CE92" s="949" t="b">
        <f t="shared" si="113"/>
        <v>1</v>
      </c>
      <c r="CG92" s="842"/>
      <c r="CH92" s="878"/>
      <c r="ED92" s="947"/>
      <c r="EF92" s="947"/>
      <c r="EG92" s="947"/>
      <c r="EH92" s="947"/>
      <c r="EI92" s="947"/>
      <c r="EJ92" s="947"/>
      <c r="EK92" s="947"/>
      <c r="EL92" s="947"/>
      <c r="EW92" s="840"/>
      <c r="EX92" s="938">
        <f t="shared" si="77"/>
        <v>922155.04265624995</v>
      </c>
      <c r="EY92" s="942">
        <f t="shared" si="78"/>
        <v>0.15</v>
      </c>
      <c r="EZ92" s="938">
        <f t="shared" si="79"/>
        <v>138323.25639843749</v>
      </c>
      <c r="FA92" s="938">
        <f t="shared" si="80"/>
        <v>10000</v>
      </c>
      <c r="FB92" s="938">
        <f t="shared" si="81"/>
        <v>128323.25639843749</v>
      </c>
      <c r="FC92" s="813">
        <f t="shared" si="73"/>
        <v>48</v>
      </c>
      <c r="FD92" s="814">
        <f t="shared" si="114"/>
        <v>2673.4011749674478</v>
      </c>
      <c r="FE92" s="942">
        <f t="shared" si="115"/>
        <v>0.85</v>
      </c>
      <c r="FF92" s="938">
        <f t="shared" si="116"/>
        <v>783831.7862578124</v>
      </c>
      <c r="FG92" s="940">
        <f t="shared" si="117"/>
        <v>7045.3016908127875</v>
      </c>
      <c r="FH92" s="940">
        <f t="shared" si="118"/>
        <v>9100.9516665612191</v>
      </c>
      <c r="FI92" s="940">
        <f t="shared" si="119"/>
        <v>15520.808821927765</v>
      </c>
      <c r="FJ92" s="840"/>
      <c r="FK92" s="938">
        <f t="shared" si="126"/>
        <v>-1466.0587088531161</v>
      </c>
      <c r="FN92" s="957"/>
      <c r="FO92" s="957"/>
      <c r="FP92" s="957"/>
      <c r="FU92" s="957"/>
      <c r="FV92" s="957"/>
    </row>
    <row r="93" spans="1:178" s="717" customFormat="1" ht="14.5" hidden="1" x14ac:dyDescent="0.35">
      <c r="A93" s="813">
        <f t="shared" si="120"/>
        <v>82</v>
      </c>
      <c r="B93" s="813"/>
      <c r="C93" s="813" t="s">
        <v>378</v>
      </c>
      <c r="D93" s="813">
        <f t="shared" si="74"/>
        <v>29</v>
      </c>
      <c r="E93" s="813" t="s">
        <v>379</v>
      </c>
      <c r="F93" s="575" t="s">
        <v>555</v>
      </c>
      <c r="G93" s="575" t="s">
        <v>375</v>
      </c>
      <c r="H93" s="575">
        <v>13.5</v>
      </c>
      <c r="I93" s="814">
        <v>52000</v>
      </c>
      <c r="J93" s="815">
        <f t="shared" si="82"/>
        <v>702000</v>
      </c>
      <c r="K93" s="815"/>
      <c r="L93" s="815"/>
      <c r="M93" s="815"/>
      <c r="N93" s="815">
        <f t="shared" si="83"/>
        <v>702000</v>
      </c>
      <c r="O93" s="815">
        <f t="shared" si="84"/>
        <v>17550</v>
      </c>
      <c r="P93" s="815">
        <f t="shared" si="85"/>
        <v>719550</v>
      </c>
      <c r="Q93" s="948">
        <f t="shared" si="86"/>
        <v>1.2500000000000001E-2</v>
      </c>
      <c r="R93" s="815">
        <f t="shared" si="87"/>
        <v>8994.375</v>
      </c>
      <c r="S93" s="955" t="s">
        <v>450</v>
      </c>
      <c r="T93" s="955">
        <f t="shared" si="88"/>
        <v>728544.375</v>
      </c>
      <c r="U93" s="955"/>
      <c r="V93" s="955">
        <f t="shared" si="89"/>
        <v>27320.4140625</v>
      </c>
      <c r="W93" s="955">
        <f t="shared" si="90"/>
        <v>755864.7890625</v>
      </c>
      <c r="X93" s="955"/>
      <c r="Y93" s="955">
        <f t="shared" si="91"/>
        <v>755864.7890625</v>
      </c>
      <c r="Z93" s="955"/>
      <c r="AA93" s="955">
        <f t="shared" si="92"/>
        <v>755864.7890625</v>
      </c>
      <c r="AB93" s="955"/>
      <c r="AC93" s="955">
        <f t="shared" si="93"/>
        <v>755864.7890625</v>
      </c>
      <c r="AD93" s="955"/>
      <c r="AE93" s="955">
        <f t="shared" si="94"/>
        <v>755864.7890625</v>
      </c>
      <c r="AF93" s="955"/>
      <c r="AG93" s="955">
        <f t="shared" si="95"/>
        <v>755864.7890625</v>
      </c>
      <c r="AH93" s="955"/>
      <c r="AI93" s="955">
        <f t="shared" si="96"/>
        <v>755864.7890625</v>
      </c>
      <c r="AJ93" s="955"/>
      <c r="AK93" s="955">
        <f t="shared" si="97"/>
        <v>755864.7890625</v>
      </c>
      <c r="AL93" s="955"/>
      <c r="AM93" s="955">
        <f t="shared" si="98"/>
        <v>755864.7890625</v>
      </c>
      <c r="AN93" s="955"/>
      <c r="AO93" s="955">
        <f t="shared" si="99"/>
        <v>755864.7890625</v>
      </c>
      <c r="AP93" s="955"/>
      <c r="AQ93" s="1000">
        <f t="shared" si="100"/>
        <v>755864.7890625</v>
      </c>
      <c r="AR93" s="955"/>
      <c r="AS93" s="1000">
        <f t="shared" si="101"/>
        <v>755864.7890625</v>
      </c>
      <c r="AT93" s="815">
        <f t="shared" si="102"/>
        <v>755864.7890625</v>
      </c>
      <c r="AU93" s="815">
        <f t="shared" si="103"/>
        <v>90703.774687500001</v>
      </c>
      <c r="AV93" s="815">
        <f t="shared" si="104"/>
        <v>75586.478906250006</v>
      </c>
      <c r="AW93" s="815">
        <f t="shared" si="105"/>
        <v>922155.04265624995</v>
      </c>
      <c r="AX93" s="816">
        <v>0.15</v>
      </c>
      <c r="AY93" s="815">
        <f t="shared" si="121"/>
        <v>138323.25639843749</v>
      </c>
      <c r="AZ93" s="815">
        <v>10000</v>
      </c>
      <c r="BA93" s="815">
        <f t="shared" si="122"/>
        <v>128323.25639843749</v>
      </c>
      <c r="BB93" s="825">
        <f t="shared" si="71"/>
        <v>31</v>
      </c>
      <c r="BC93" s="814">
        <f t="shared" si="123"/>
        <v>4139.4598838205638</v>
      </c>
      <c r="BD93" s="817">
        <f t="shared" si="106"/>
        <v>0.85</v>
      </c>
      <c r="BE93" s="815">
        <f t="shared" si="124"/>
        <v>783831.7862578124</v>
      </c>
      <c r="BF93" s="833">
        <f t="shared" si="107"/>
        <v>7045.3016908127875</v>
      </c>
      <c r="BG93" s="833">
        <f t="shared" si="108"/>
        <v>9100.9516665612191</v>
      </c>
      <c r="BH93" s="833">
        <f t="shared" si="109"/>
        <v>15520.808821927765</v>
      </c>
      <c r="BK93" s="818"/>
      <c r="BL93" s="907">
        <f t="shared" si="75"/>
        <v>46082</v>
      </c>
      <c r="BM93" s="908">
        <f t="shared" si="110"/>
        <v>29</v>
      </c>
      <c r="BN93" s="909"/>
      <c r="BO93" s="907">
        <f t="shared" si="111"/>
        <v>46147</v>
      </c>
      <c r="BP93" s="914">
        <f t="shared" si="72"/>
        <v>31</v>
      </c>
      <c r="BQ93" s="818"/>
      <c r="BR93" s="818"/>
      <c r="BS93" s="818"/>
      <c r="BT93" s="818"/>
      <c r="BU93" s="818"/>
      <c r="BV93" s="818"/>
      <c r="BW93" s="818"/>
      <c r="BX93" s="818"/>
      <c r="BY93" s="818"/>
      <c r="BZ93" s="818"/>
      <c r="CA93" s="969" t="s">
        <v>262</v>
      </c>
      <c r="CB93" s="812" t="s">
        <v>262</v>
      </c>
      <c r="CC93" s="832" t="b">
        <f t="shared" si="112"/>
        <v>1</v>
      </c>
      <c r="CD93" s="717" t="s">
        <v>262</v>
      </c>
      <c r="CE93" s="949" t="b">
        <f t="shared" si="113"/>
        <v>1</v>
      </c>
      <c r="CG93" s="842"/>
      <c r="CH93" s="878"/>
      <c r="ED93" s="947"/>
      <c r="EF93" s="947"/>
      <c r="EG93" s="947"/>
      <c r="EH93" s="947"/>
      <c r="EI93" s="947"/>
      <c r="EJ93" s="947"/>
      <c r="EK93" s="947"/>
      <c r="EL93" s="947"/>
      <c r="EW93" s="840"/>
      <c r="EX93" s="938">
        <f t="shared" si="77"/>
        <v>922155.04265624995</v>
      </c>
      <c r="EY93" s="942">
        <f t="shared" si="78"/>
        <v>0.15</v>
      </c>
      <c r="EZ93" s="938">
        <f t="shared" si="79"/>
        <v>138323.25639843749</v>
      </c>
      <c r="FA93" s="938">
        <f t="shared" si="80"/>
        <v>10000</v>
      </c>
      <c r="FB93" s="938">
        <f t="shared" si="81"/>
        <v>128323.25639843749</v>
      </c>
      <c r="FC93" s="813">
        <f t="shared" si="73"/>
        <v>48</v>
      </c>
      <c r="FD93" s="814">
        <f t="shared" si="114"/>
        <v>2673.4011749674478</v>
      </c>
      <c r="FE93" s="942">
        <f t="shared" si="115"/>
        <v>0.85</v>
      </c>
      <c r="FF93" s="938">
        <f t="shared" si="116"/>
        <v>783831.7862578124</v>
      </c>
      <c r="FG93" s="940">
        <f t="shared" si="117"/>
        <v>7045.3016908127875</v>
      </c>
      <c r="FH93" s="940">
        <f t="shared" si="118"/>
        <v>9100.9516665612191</v>
      </c>
      <c r="FI93" s="940">
        <f t="shared" si="119"/>
        <v>15520.808821927765</v>
      </c>
      <c r="FJ93" s="840"/>
      <c r="FK93" s="938">
        <f t="shared" si="126"/>
        <v>-1466.0587088531161</v>
      </c>
      <c r="FN93" s="957"/>
      <c r="FO93" s="957"/>
      <c r="FP93" s="957"/>
      <c r="FU93" s="957"/>
      <c r="FV93" s="957"/>
    </row>
    <row r="94" spans="1:178" s="717" customFormat="1" ht="14.5" hidden="1" x14ac:dyDescent="0.35">
      <c r="A94" s="813">
        <f t="shared" si="120"/>
        <v>83</v>
      </c>
      <c r="B94" s="813"/>
      <c r="C94" s="813" t="s">
        <v>378</v>
      </c>
      <c r="D94" s="813">
        <f t="shared" si="74"/>
        <v>30</v>
      </c>
      <c r="E94" s="813" t="s">
        <v>379</v>
      </c>
      <c r="F94" s="575" t="s">
        <v>556</v>
      </c>
      <c r="G94" s="575" t="s">
        <v>375</v>
      </c>
      <c r="H94" s="575">
        <v>13.5</v>
      </c>
      <c r="I94" s="814">
        <v>52000</v>
      </c>
      <c r="J94" s="815">
        <f t="shared" si="82"/>
        <v>702000</v>
      </c>
      <c r="K94" s="815"/>
      <c r="L94" s="815"/>
      <c r="M94" s="815"/>
      <c r="N94" s="815">
        <f t="shared" si="83"/>
        <v>702000</v>
      </c>
      <c r="O94" s="815">
        <f t="shared" si="84"/>
        <v>17550</v>
      </c>
      <c r="P94" s="815">
        <f t="shared" si="85"/>
        <v>719550</v>
      </c>
      <c r="Q94" s="948">
        <f t="shared" si="86"/>
        <v>1.2500000000000001E-2</v>
      </c>
      <c r="R94" s="815">
        <f t="shared" si="87"/>
        <v>8994.375</v>
      </c>
      <c r="S94" s="955" t="s">
        <v>450</v>
      </c>
      <c r="T94" s="955">
        <f t="shared" si="88"/>
        <v>728544.375</v>
      </c>
      <c r="U94" s="955"/>
      <c r="V94" s="955">
        <f t="shared" si="89"/>
        <v>27320.4140625</v>
      </c>
      <c r="W94" s="955">
        <f t="shared" si="90"/>
        <v>755864.7890625</v>
      </c>
      <c r="X94" s="955"/>
      <c r="Y94" s="955">
        <f t="shared" si="91"/>
        <v>755864.7890625</v>
      </c>
      <c r="Z94" s="955"/>
      <c r="AA94" s="955">
        <f t="shared" si="92"/>
        <v>755864.7890625</v>
      </c>
      <c r="AB94" s="955"/>
      <c r="AC94" s="955">
        <f t="shared" si="93"/>
        <v>755864.7890625</v>
      </c>
      <c r="AD94" s="955"/>
      <c r="AE94" s="955">
        <f t="shared" si="94"/>
        <v>755864.7890625</v>
      </c>
      <c r="AF94" s="955"/>
      <c r="AG94" s="955">
        <f t="shared" si="95"/>
        <v>755864.7890625</v>
      </c>
      <c r="AH94" s="955"/>
      <c r="AI94" s="955">
        <f t="shared" si="96"/>
        <v>755864.7890625</v>
      </c>
      <c r="AJ94" s="955"/>
      <c r="AK94" s="955">
        <f t="shared" si="97"/>
        <v>755864.7890625</v>
      </c>
      <c r="AL94" s="955"/>
      <c r="AM94" s="955">
        <f t="shared" si="98"/>
        <v>755864.7890625</v>
      </c>
      <c r="AN94" s="955"/>
      <c r="AO94" s="955">
        <f t="shared" si="99"/>
        <v>755864.7890625</v>
      </c>
      <c r="AP94" s="955"/>
      <c r="AQ94" s="1000">
        <f t="shared" si="100"/>
        <v>755864.7890625</v>
      </c>
      <c r="AR94" s="955"/>
      <c r="AS94" s="1000">
        <f t="shared" si="101"/>
        <v>755864.7890625</v>
      </c>
      <c r="AT94" s="815">
        <f t="shared" si="102"/>
        <v>755864.7890625</v>
      </c>
      <c r="AU94" s="815">
        <f t="shared" si="103"/>
        <v>90703.774687500001</v>
      </c>
      <c r="AV94" s="815">
        <f t="shared" si="104"/>
        <v>75586.478906250006</v>
      </c>
      <c r="AW94" s="815">
        <f t="shared" si="105"/>
        <v>922155.04265624995</v>
      </c>
      <c r="AX94" s="816">
        <v>0.15</v>
      </c>
      <c r="AY94" s="815">
        <f t="shared" si="121"/>
        <v>138323.25639843749</v>
      </c>
      <c r="AZ94" s="815">
        <v>10000</v>
      </c>
      <c r="BA94" s="815">
        <f t="shared" si="122"/>
        <v>128323.25639843749</v>
      </c>
      <c r="BB94" s="825">
        <f t="shared" si="71"/>
        <v>31</v>
      </c>
      <c r="BC94" s="814">
        <f t="shared" si="123"/>
        <v>4139.4598838205638</v>
      </c>
      <c r="BD94" s="817">
        <f t="shared" si="106"/>
        <v>0.85</v>
      </c>
      <c r="BE94" s="815">
        <f t="shared" si="124"/>
        <v>783831.7862578124</v>
      </c>
      <c r="BF94" s="833">
        <f t="shared" si="107"/>
        <v>7045.3016908127875</v>
      </c>
      <c r="BG94" s="833">
        <f t="shared" si="108"/>
        <v>9100.9516665612191</v>
      </c>
      <c r="BH94" s="833">
        <f t="shared" si="109"/>
        <v>15520.808821927765</v>
      </c>
      <c r="BK94" s="818"/>
      <c r="BL94" s="907">
        <f t="shared" si="75"/>
        <v>46082</v>
      </c>
      <c r="BM94" s="908">
        <f t="shared" si="110"/>
        <v>29</v>
      </c>
      <c r="BN94" s="909"/>
      <c r="BO94" s="907">
        <f t="shared" si="111"/>
        <v>46147</v>
      </c>
      <c r="BP94" s="914">
        <f t="shared" si="72"/>
        <v>31</v>
      </c>
      <c r="BQ94" s="818"/>
      <c r="BR94" s="818"/>
      <c r="BS94" s="818"/>
      <c r="BT94" s="818"/>
      <c r="BU94" s="818"/>
      <c r="BV94" s="818"/>
      <c r="BW94" s="818"/>
      <c r="BX94" s="818"/>
      <c r="BY94" s="818"/>
      <c r="BZ94" s="818"/>
      <c r="CA94" s="969" t="s">
        <v>262</v>
      </c>
      <c r="CB94" s="812" t="s">
        <v>262</v>
      </c>
      <c r="CC94" s="832" t="b">
        <f t="shared" si="112"/>
        <v>1</v>
      </c>
      <c r="CD94" s="717" t="s">
        <v>262</v>
      </c>
      <c r="CE94" s="949" t="b">
        <f t="shared" si="113"/>
        <v>1</v>
      </c>
      <c r="CG94" s="842"/>
      <c r="CH94" s="878"/>
      <c r="ED94" s="947"/>
      <c r="EF94" s="947"/>
      <c r="EG94" s="947"/>
      <c r="EH94" s="947"/>
      <c r="EI94" s="947"/>
      <c r="EJ94" s="947"/>
      <c r="EK94" s="947"/>
      <c r="EL94" s="947"/>
      <c r="EW94" s="840"/>
      <c r="EX94" s="938">
        <f t="shared" si="77"/>
        <v>922155.04265624995</v>
      </c>
      <c r="EY94" s="942">
        <f t="shared" si="78"/>
        <v>0.15</v>
      </c>
      <c r="EZ94" s="938">
        <f t="shared" si="79"/>
        <v>138323.25639843749</v>
      </c>
      <c r="FA94" s="938">
        <f t="shared" si="80"/>
        <v>10000</v>
      </c>
      <c r="FB94" s="938">
        <f t="shared" si="81"/>
        <v>128323.25639843749</v>
      </c>
      <c r="FC94" s="813">
        <f t="shared" si="73"/>
        <v>48</v>
      </c>
      <c r="FD94" s="814">
        <f t="shared" si="114"/>
        <v>2673.4011749674478</v>
      </c>
      <c r="FE94" s="942">
        <f t="shared" si="115"/>
        <v>0.85</v>
      </c>
      <c r="FF94" s="938">
        <f t="shared" si="116"/>
        <v>783831.7862578124</v>
      </c>
      <c r="FG94" s="940">
        <f t="shared" si="117"/>
        <v>7045.3016908127875</v>
      </c>
      <c r="FH94" s="940">
        <f t="shared" si="118"/>
        <v>9100.9516665612191</v>
      </c>
      <c r="FI94" s="940">
        <f t="shared" si="119"/>
        <v>15520.808821927765</v>
      </c>
      <c r="FJ94" s="840"/>
      <c r="FK94" s="938">
        <f t="shared" si="126"/>
        <v>-1466.0587088531161</v>
      </c>
      <c r="FN94" s="957"/>
      <c r="FO94" s="957"/>
      <c r="FP94" s="957"/>
      <c r="FU94" s="957"/>
      <c r="FV94" s="957"/>
    </row>
    <row r="95" spans="1:178" s="717" customFormat="1" ht="14.5" hidden="1" x14ac:dyDescent="0.35">
      <c r="A95" s="813">
        <f t="shared" si="120"/>
        <v>84</v>
      </c>
      <c r="B95" s="813"/>
      <c r="C95" s="813" t="s">
        <v>378</v>
      </c>
      <c r="D95" s="813">
        <f t="shared" si="74"/>
        <v>31</v>
      </c>
      <c r="E95" s="813" t="s">
        <v>379</v>
      </c>
      <c r="F95" s="575" t="s">
        <v>557</v>
      </c>
      <c r="G95" s="575" t="s">
        <v>375</v>
      </c>
      <c r="H95" s="575">
        <v>13.5</v>
      </c>
      <c r="I95" s="814">
        <v>52000</v>
      </c>
      <c r="J95" s="815">
        <f t="shared" si="82"/>
        <v>702000</v>
      </c>
      <c r="K95" s="815"/>
      <c r="L95" s="815"/>
      <c r="M95" s="815"/>
      <c r="N95" s="815">
        <f t="shared" si="83"/>
        <v>702000</v>
      </c>
      <c r="O95" s="815">
        <f t="shared" si="84"/>
        <v>17550</v>
      </c>
      <c r="P95" s="815">
        <f t="shared" si="85"/>
        <v>719550</v>
      </c>
      <c r="Q95" s="948">
        <f t="shared" si="86"/>
        <v>1.2500000000000001E-2</v>
      </c>
      <c r="R95" s="815">
        <f t="shared" si="87"/>
        <v>8994.375</v>
      </c>
      <c r="S95" s="955" t="s">
        <v>450</v>
      </c>
      <c r="T95" s="955">
        <f t="shared" si="88"/>
        <v>728544.375</v>
      </c>
      <c r="U95" s="955"/>
      <c r="V95" s="955">
        <f t="shared" si="89"/>
        <v>27320.4140625</v>
      </c>
      <c r="W95" s="955">
        <f t="shared" si="90"/>
        <v>755864.7890625</v>
      </c>
      <c r="X95" s="955"/>
      <c r="Y95" s="955">
        <f t="shared" si="91"/>
        <v>755864.7890625</v>
      </c>
      <c r="Z95" s="955"/>
      <c r="AA95" s="955">
        <f t="shared" si="92"/>
        <v>755864.7890625</v>
      </c>
      <c r="AB95" s="955"/>
      <c r="AC95" s="955">
        <f t="shared" si="93"/>
        <v>755864.7890625</v>
      </c>
      <c r="AD95" s="955"/>
      <c r="AE95" s="955">
        <f t="shared" si="94"/>
        <v>755864.7890625</v>
      </c>
      <c r="AF95" s="955"/>
      <c r="AG95" s="955">
        <f t="shared" si="95"/>
        <v>755864.7890625</v>
      </c>
      <c r="AH95" s="955"/>
      <c r="AI95" s="955">
        <f t="shared" si="96"/>
        <v>755864.7890625</v>
      </c>
      <c r="AJ95" s="955"/>
      <c r="AK95" s="955">
        <f t="shared" si="97"/>
        <v>755864.7890625</v>
      </c>
      <c r="AL95" s="955"/>
      <c r="AM95" s="955">
        <f t="shared" si="98"/>
        <v>755864.7890625</v>
      </c>
      <c r="AN95" s="955"/>
      <c r="AO95" s="955">
        <f t="shared" si="99"/>
        <v>755864.7890625</v>
      </c>
      <c r="AP95" s="955"/>
      <c r="AQ95" s="1000">
        <f t="shared" si="100"/>
        <v>755864.7890625</v>
      </c>
      <c r="AR95" s="955"/>
      <c r="AS95" s="1000">
        <f t="shared" si="101"/>
        <v>755864.7890625</v>
      </c>
      <c r="AT95" s="815">
        <f t="shared" si="102"/>
        <v>755864.7890625</v>
      </c>
      <c r="AU95" s="815">
        <f t="shared" si="103"/>
        <v>90703.774687500001</v>
      </c>
      <c r="AV95" s="815">
        <f t="shared" si="104"/>
        <v>75586.478906250006</v>
      </c>
      <c r="AW95" s="815">
        <f t="shared" si="105"/>
        <v>922155.04265624995</v>
      </c>
      <c r="AX95" s="816">
        <v>0.15</v>
      </c>
      <c r="AY95" s="815">
        <f t="shared" si="121"/>
        <v>138323.25639843749</v>
      </c>
      <c r="AZ95" s="815">
        <v>10000</v>
      </c>
      <c r="BA95" s="815">
        <f t="shared" si="122"/>
        <v>128323.25639843749</v>
      </c>
      <c r="BB95" s="825">
        <f t="shared" si="71"/>
        <v>31</v>
      </c>
      <c r="BC95" s="814">
        <f t="shared" si="123"/>
        <v>4139.4598838205638</v>
      </c>
      <c r="BD95" s="817">
        <f t="shared" si="106"/>
        <v>0.85</v>
      </c>
      <c r="BE95" s="815">
        <f t="shared" si="124"/>
        <v>783831.7862578124</v>
      </c>
      <c r="BF95" s="833">
        <f t="shared" si="107"/>
        <v>7045.3016908127875</v>
      </c>
      <c r="BG95" s="833">
        <f t="shared" si="108"/>
        <v>9100.9516665612191</v>
      </c>
      <c r="BH95" s="833">
        <f t="shared" si="109"/>
        <v>15520.808821927765</v>
      </c>
      <c r="BK95" s="818"/>
      <c r="BL95" s="907">
        <f t="shared" si="75"/>
        <v>46082</v>
      </c>
      <c r="BM95" s="908">
        <f t="shared" si="110"/>
        <v>29</v>
      </c>
      <c r="BN95" s="909"/>
      <c r="BO95" s="907">
        <f t="shared" si="111"/>
        <v>46147</v>
      </c>
      <c r="BP95" s="914">
        <f t="shared" si="72"/>
        <v>31</v>
      </c>
      <c r="BQ95" s="818"/>
      <c r="BR95" s="818"/>
      <c r="BS95" s="818"/>
      <c r="BT95" s="818"/>
      <c r="BU95" s="818"/>
      <c r="BV95" s="818"/>
      <c r="BW95" s="818"/>
      <c r="BX95" s="818"/>
      <c r="BY95" s="818"/>
      <c r="BZ95" s="818"/>
      <c r="CA95" s="969" t="s">
        <v>262</v>
      </c>
      <c r="CB95" s="812" t="s">
        <v>262</v>
      </c>
      <c r="CC95" s="832" t="b">
        <f t="shared" si="112"/>
        <v>1</v>
      </c>
      <c r="CD95" s="717" t="s">
        <v>262</v>
      </c>
      <c r="CE95" s="949" t="b">
        <f t="shared" si="113"/>
        <v>1</v>
      </c>
      <c r="CG95" s="842"/>
      <c r="CH95" s="878"/>
      <c r="ED95" s="947"/>
      <c r="EF95" s="947"/>
      <c r="EG95" s="947"/>
      <c r="EH95" s="947"/>
      <c r="EI95" s="947"/>
      <c r="EJ95" s="947"/>
      <c r="EK95" s="947"/>
      <c r="EL95" s="947"/>
      <c r="EW95" s="840"/>
      <c r="EX95" s="938">
        <f t="shared" si="77"/>
        <v>922155.04265624995</v>
      </c>
      <c r="EY95" s="942">
        <f t="shared" si="78"/>
        <v>0.15</v>
      </c>
      <c r="EZ95" s="938">
        <f t="shared" si="79"/>
        <v>138323.25639843749</v>
      </c>
      <c r="FA95" s="938">
        <f t="shared" si="80"/>
        <v>10000</v>
      </c>
      <c r="FB95" s="938">
        <f t="shared" si="81"/>
        <v>128323.25639843749</v>
      </c>
      <c r="FC95" s="813">
        <f t="shared" si="73"/>
        <v>48</v>
      </c>
      <c r="FD95" s="814">
        <f t="shared" si="114"/>
        <v>2673.4011749674478</v>
      </c>
      <c r="FE95" s="942">
        <f t="shared" si="115"/>
        <v>0.85</v>
      </c>
      <c r="FF95" s="938">
        <f t="shared" si="116"/>
        <v>783831.7862578124</v>
      </c>
      <c r="FG95" s="940">
        <f t="shared" si="117"/>
        <v>7045.3016908127875</v>
      </c>
      <c r="FH95" s="940">
        <f t="shared" si="118"/>
        <v>9100.9516665612191</v>
      </c>
      <c r="FI95" s="940">
        <f t="shared" si="119"/>
        <v>15520.808821927765</v>
      </c>
      <c r="FJ95" s="840"/>
      <c r="FK95" s="938">
        <f t="shared" si="126"/>
        <v>-1466.0587088531161</v>
      </c>
      <c r="FN95" s="957"/>
      <c r="FO95" s="957"/>
      <c r="FP95" s="957"/>
      <c r="FU95" s="957"/>
      <c r="FV95" s="957"/>
    </row>
    <row r="96" spans="1:178" s="717" customFormat="1" ht="14.5" hidden="1" x14ac:dyDescent="0.35">
      <c r="A96" s="813">
        <f t="shared" si="120"/>
        <v>85</v>
      </c>
      <c r="B96" s="813"/>
      <c r="C96" s="813" t="s">
        <v>378</v>
      </c>
      <c r="D96" s="813">
        <f t="shared" si="74"/>
        <v>32</v>
      </c>
      <c r="E96" s="813" t="s">
        <v>379</v>
      </c>
      <c r="F96" s="575" t="s">
        <v>558</v>
      </c>
      <c r="G96" s="575" t="s">
        <v>375</v>
      </c>
      <c r="H96" s="575">
        <v>13.5</v>
      </c>
      <c r="I96" s="814">
        <v>52000</v>
      </c>
      <c r="J96" s="815">
        <f t="shared" si="82"/>
        <v>702000</v>
      </c>
      <c r="K96" s="815"/>
      <c r="L96" s="815"/>
      <c r="M96" s="815"/>
      <c r="N96" s="815">
        <f t="shared" si="83"/>
        <v>702000</v>
      </c>
      <c r="O96" s="815">
        <f t="shared" si="84"/>
        <v>17550</v>
      </c>
      <c r="P96" s="815">
        <f t="shared" si="85"/>
        <v>719550</v>
      </c>
      <c r="Q96" s="948">
        <f t="shared" si="86"/>
        <v>1.2500000000000001E-2</v>
      </c>
      <c r="R96" s="815">
        <f t="shared" si="87"/>
        <v>8994.375</v>
      </c>
      <c r="S96" s="955" t="s">
        <v>450</v>
      </c>
      <c r="T96" s="955">
        <f t="shared" si="88"/>
        <v>728544.375</v>
      </c>
      <c r="U96" s="955"/>
      <c r="V96" s="955">
        <f t="shared" si="89"/>
        <v>27320.4140625</v>
      </c>
      <c r="W96" s="955">
        <f t="shared" si="90"/>
        <v>755864.7890625</v>
      </c>
      <c r="X96" s="955"/>
      <c r="Y96" s="955">
        <f t="shared" si="91"/>
        <v>755864.7890625</v>
      </c>
      <c r="Z96" s="955"/>
      <c r="AA96" s="955">
        <f t="shared" si="92"/>
        <v>755864.7890625</v>
      </c>
      <c r="AB96" s="955"/>
      <c r="AC96" s="955">
        <f t="shared" si="93"/>
        <v>755864.7890625</v>
      </c>
      <c r="AD96" s="955"/>
      <c r="AE96" s="955">
        <f t="shared" si="94"/>
        <v>755864.7890625</v>
      </c>
      <c r="AF96" s="955"/>
      <c r="AG96" s="955">
        <f t="shared" si="95"/>
        <v>755864.7890625</v>
      </c>
      <c r="AH96" s="955"/>
      <c r="AI96" s="955">
        <f t="shared" si="96"/>
        <v>755864.7890625</v>
      </c>
      <c r="AJ96" s="955"/>
      <c r="AK96" s="955">
        <f t="shared" si="97"/>
        <v>755864.7890625</v>
      </c>
      <c r="AL96" s="955"/>
      <c r="AM96" s="955">
        <f t="shared" si="98"/>
        <v>755864.7890625</v>
      </c>
      <c r="AN96" s="955"/>
      <c r="AO96" s="955">
        <f t="shared" si="99"/>
        <v>755864.7890625</v>
      </c>
      <c r="AP96" s="955"/>
      <c r="AQ96" s="1000">
        <f t="shared" si="100"/>
        <v>755864.7890625</v>
      </c>
      <c r="AR96" s="955"/>
      <c r="AS96" s="1000">
        <f t="shared" si="101"/>
        <v>755864.7890625</v>
      </c>
      <c r="AT96" s="815">
        <f t="shared" si="102"/>
        <v>755864.7890625</v>
      </c>
      <c r="AU96" s="815">
        <f t="shared" si="103"/>
        <v>90703.774687500001</v>
      </c>
      <c r="AV96" s="815">
        <f t="shared" si="104"/>
        <v>75586.478906250006</v>
      </c>
      <c r="AW96" s="815">
        <f t="shared" si="105"/>
        <v>922155.04265624995</v>
      </c>
      <c r="AX96" s="816">
        <v>0.15</v>
      </c>
      <c r="AY96" s="815">
        <f t="shared" si="121"/>
        <v>138323.25639843749</v>
      </c>
      <c r="AZ96" s="815">
        <v>10000</v>
      </c>
      <c r="BA96" s="815">
        <f t="shared" si="122"/>
        <v>128323.25639843749</v>
      </c>
      <c r="BB96" s="825">
        <f t="shared" si="71"/>
        <v>31</v>
      </c>
      <c r="BC96" s="814">
        <f t="shared" si="123"/>
        <v>4139.4598838205638</v>
      </c>
      <c r="BD96" s="817">
        <f t="shared" si="106"/>
        <v>0.85</v>
      </c>
      <c r="BE96" s="815">
        <f t="shared" si="124"/>
        <v>783831.7862578124</v>
      </c>
      <c r="BF96" s="833">
        <f t="shared" si="107"/>
        <v>7045.3016908127875</v>
      </c>
      <c r="BG96" s="833">
        <f t="shared" si="108"/>
        <v>9100.9516665612191</v>
      </c>
      <c r="BH96" s="833">
        <f t="shared" si="109"/>
        <v>15520.808821927765</v>
      </c>
      <c r="BK96" s="818"/>
      <c r="BL96" s="907">
        <f t="shared" si="75"/>
        <v>46082</v>
      </c>
      <c r="BM96" s="908">
        <f t="shared" si="110"/>
        <v>29</v>
      </c>
      <c r="BN96" s="909"/>
      <c r="BO96" s="907">
        <f t="shared" si="111"/>
        <v>46147</v>
      </c>
      <c r="BP96" s="914">
        <f t="shared" si="72"/>
        <v>31</v>
      </c>
      <c r="BQ96" s="818"/>
      <c r="BR96" s="818"/>
      <c r="BS96" s="818"/>
      <c r="BT96" s="818"/>
      <c r="BU96" s="818"/>
      <c r="BV96" s="818"/>
      <c r="BW96" s="818"/>
      <c r="BX96" s="818"/>
      <c r="BY96" s="818"/>
      <c r="BZ96" s="818"/>
      <c r="CA96" s="969" t="s">
        <v>262</v>
      </c>
      <c r="CB96" s="812" t="s">
        <v>262</v>
      </c>
      <c r="CC96" s="832" t="b">
        <f t="shared" si="112"/>
        <v>1</v>
      </c>
      <c r="CD96" s="717" t="s">
        <v>262</v>
      </c>
      <c r="CE96" s="949" t="b">
        <f t="shared" si="113"/>
        <v>1</v>
      </c>
      <c r="CG96" s="842"/>
      <c r="CH96" s="878"/>
      <c r="ED96" s="947"/>
      <c r="EF96" s="947"/>
      <c r="EG96" s="947"/>
      <c r="EH96" s="947"/>
      <c r="EI96" s="947"/>
      <c r="EJ96" s="947"/>
      <c r="EK96" s="947"/>
      <c r="EL96" s="947"/>
      <c r="EW96" s="840"/>
      <c r="EX96" s="938">
        <f t="shared" si="77"/>
        <v>922155.04265624995</v>
      </c>
      <c r="EY96" s="942">
        <f t="shared" si="78"/>
        <v>0.15</v>
      </c>
      <c r="EZ96" s="938">
        <f t="shared" si="79"/>
        <v>138323.25639843749</v>
      </c>
      <c r="FA96" s="938">
        <f t="shared" si="80"/>
        <v>10000</v>
      </c>
      <c r="FB96" s="938">
        <f t="shared" si="81"/>
        <v>128323.25639843749</v>
      </c>
      <c r="FC96" s="813">
        <f t="shared" si="73"/>
        <v>48</v>
      </c>
      <c r="FD96" s="814">
        <f t="shared" si="114"/>
        <v>2673.4011749674478</v>
      </c>
      <c r="FE96" s="942">
        <f t="shared" si="115"/>
        <v>0.85</v>
      </c>
      <c r="FF96" s="938">
        <f t="shared" si="116"/>
        <v>783831.7862578124</v>
      </c>
      <c r="FG96" s="940">
        <f t="shared" si="117"/>
        <v>7045.3016908127875</v>
      </c>
      <c r="FH96" s="940">
        <f t="shared" si="118"/>
        <v>9100.9516665612191</v>
      </c>
      <c r="FI96" s="940">
        <f t="shared" si="119"/>
        <v>15520.808821927765</v>
      </c>
      <c r="FJ96" s="840"/>
      <c r="FK96" s="938">
        <f t="shared" si="126"/>
        <v>-1466.0587088531161</v>
      </c>
      <c r="FN96" s="957"/>
      <c r="FO96" s="957"/>
      <c r="FP96" s="957"/>
      <c r="FU96" s="957"/>
      <c r="FV96" s="957"/>
    </row>
    <row r="97" spans="1:178" s="717" customFormat="1" ht="14.5" hidden="1" x14ac:dyDescent="0.35">
      <c r="A97" s="813">
        <f t="shared" si="120"/>
        <v>86</v>
      </c>
      <c r="B97" s="813"/>
      <c r="C97" s="813" t="s">
        <v>378</v>
      </c>
      <c r="D97" s="813">
        <f t="shared" si="74"/>
        <v>33</v>
      </c>
      <c r="E97" s="813" t="s">
        <v>379</v>
      </c>
      <c r="F97" s="575" t="s">
        <v>559</v>
      </c>
      <c r="G97" s="575" t="s">
        <v>375</v>
      </c>
      <c r="H97" s="575">
        <v>13.5</v>
      </c>
      <c r="I97" s="814">
        <v>52000</v>
      </c>
      <c r="J97" s="815">
        <f t="shared" si="82"/>
        <v>702000</v>
      </c>
      <c r="K97" s="815"/>
      <c r="L97" s="815"/>
      <c r="M97" s="815"/>
      <c r="N97" s="815">
        <f t="shared" si="83"/>
        <v>702000</v>
      </c>
      <c r="O97" s="815">
        <f t="shared" si="84"/>
        <v>17550</v>
      </c>
      <c r="P97" s="815">
        <f t="shared" si="85"/>
        <v>719550</v>
      </c>
      <c r="Q97" s="948">
        <f t="shared" si="86"/>
        <v>1.2500000000000001E-2</v>
      </c>
      <c r="R97" s="815">
        <f t="shared" si="87"/>
        <v>8994.375</v>
      </c>
      <c r="S97" s="955" t="s">
        <v>450</v>
      </c>
      <c r="T97" s="955">
        <f t="shared" si="88"/>
        <v>728544.375</v>
      </c>
      <c r="U97" s="955"/>
      <c r="V97" s="955">
        <f t="shared" si="89"/>
        <v>27320.4140625</v>
      </c>
      <c r="W97" s="955">
        <f t="shared" si="90"/>
        <v>755864.7890625</v>
      </c>
      <c r="X97" s="955"/>
      <c r="Y97" s="955">
        <f t="shared" si="91"/>
        <v>755864.7890625</v>
      </c>
      <c r="Z97" s="955"/>
      <c r="AA97" s="955">
        <f t="shared" si="92"/>
        <v>755864.7890625</v>
      </c>
      <c r="AB97" s="955"/>
      <c r="AC97" s="955">
        <f t="shared" si="93"/>
        <v>755864.7890625</v>
      </c>
      <c r="AD97" s="955"/>
      <c r="AE97" s="955">
        <f t="shared" si="94"/>
        <v>755864.7890625</v>
      </c>
      <c r="AF97" s="955"/>
      <c r="AG97" s="955">
        <f t="shared" si="95"/>
        <v>755864.7890625</v>
      </c>
      <c r="AH97" s="955"/>
      <c r="AI97" s="955">
        <f t="shared" si="96"/>
        <v>755864.7890625</v>
      </c>
      <c r="AJ97" s="955"/>
      <c r="AK97" s="955">
        <f t="shared" si="97"/>
        <v>755864.7890625</v>
      </c>
      <c r="AL97" s="955"/>
      <c r="AM97" s="955">
        <f t="shared" si="98"/>
        <v>755864.7890625</v>
      </c>
      <c r="AN97" s="955"/>
      <c r="AO97" s="955">
        <f t="shared" si="99"/>
        <v>755864.7890625</v>
      </c>
      <c r="AP97" s="955"/>
      <c r="AQ97" s="1000">
        <f t="shared" si="100"/>
        <v>755864.7890625</v>
      </c>
      <c r="AR97" s="955"/>
      <c r="AS97" s="1000">
        <f t="shared" si="101"/>
        <v>755864.7890625</v>
      </c>
      <c r="AT97" s="815">
        <f t="shared" si="102"/>
        <v>755864.7890625</v>
      </c>
      <c r="AU97" s="815">
        <f t="shared" si="103"/>
        <v>90703.774687500001</v>
      </c>
      <c r="AV97" s="815">
        <f t="shared" si="104"/>
        <v>75586.478906250006</v>
      </c>
      <c r="AW97" s="815">
        <f t="shared" si="105"/>
        <v>922155.04265624995</v>
      </c>
      <c r="AX97" s="816">
        <v>0.15</v>
      </c>
      <c r="AY97" s="815">
        <f t="shared" si="121"/>
        <v>138323.25639843749</v>
      </c>
      <c r="AZ97" s="815">
        <v>10000</v>
      </c>
      <c r="BA97" s="815">
        <f t="shared" si="122"/>
        <v>128323.25639843749</v>
      </c>
      <c r="BB97" s="825">
        <f t="shared" si="71"/>
        <v>31</v>
      </c>
      <c r="BC97" s="814">
        <f t="shared" si="123"/>
        <v>4139.4598838205638</v>
      </c>
      <c r="BD97" s="817">
        <f t="shared" si="106"/>
        <v>0.85</v>
      </c>
      <c r="BE97" s="815">
        <f t="shared" si="124"/>
        <v>783831.7862578124</v>
      </c>
      <c r="BF97" s="833">
        <f t="shared" si="107"/>
        <v>7045.3016908127875</v>
      </c>
      <c r="BG97" s="833">
        <f t="shared" si="108"/>
        <v>9100.9516665612191</v>
      </c>
      <c r="BH97" s="833">
        <f t="shared" si="109"/>
        <v>15520.808821927765</v>
      </c>
      <c r="BK97" s="818"/>
      <c r="BL97" s="907">
        <f t="shared" si="75"/>
        <v>46082</v>
      </c>
      <c r="BM97" s="908">
        <f t="shared" si="110"/>
        <v>29</v>
      </c>
      <c r="BN97" s="909"/>
      <c r="BO97" s="907">
        <f t="shared" si="111"/>
        <v>46147</v>
      </c>
      <c r="BP97" s="914">
        <f t="shared" si="72"/>
        <v>31</v>
      </c>
      <c r="BQ97" s="818"/>
      <c r="BR97" s="818"/>
      <c r="BS97" s="818"/>
      <c r="BT97" s="818"/>
      <c r="BU97" s="818"/>
      <c r="BV97" s="818"/>
      <c r="BW97" s="818"/>
      <c r="BX97" s="818"/>
      <c r="BY97" s="818"/>
      <c r="BZ97" s="818"/>
      <c r="CA97" s="969" t="s">
        <v>262</v>
      </c>
      <c r="CB97" s="812" t="s">
        <v>262</v>
      </c>
      <c r="CC97" s="832" t="b">
        <f t="shared" si="112"/>
        <v>1</v>
      </c>
      <c r="CD97" s="717" t="s">
        <v>262</v>
      </c>
      <c r="CE97" s="949" t="b">
        <f t="shared" si="113"/>
        <v>1</v>
      </c>
      <c r="CG97" s="842"/>
      <c r="CH97" s="878"/>
      <c r="ED97" s="947"/>
      <c r="EF97" s="947"/>
      <c r="EG97" s="947"/>
      <c r="EH97" s="947"/>
      <c r="EI97" s="947"/>
      <c r="EJ97" s="947"/>
      <c r="EK97" s="947"/>
      <c r="EL97" s="947"/>
      <c r="EW97" s="840"/>
      <c r="EX97" s="938">
        <f t="shared" si="77"/>
        <v>922155.04265624995</v>
      </c>
      <c r="EY97" s="942">
        <f t="shared" si="78"/>
        <v>0.15</v>
      </c>
      <c r="EZ97" s="938">
        <f t="shared" si="79"/>
        <v>138323.25639843749</v>
      </c>
      <c r="FA97" s="938">
        <f t="shared" si="80"/>
        <v>10000</v>
      </c>
      <c r="FB97" s="938">
        <f t="shared" si="81"/>
        <v>128323.25639843749</v>
      </c>
      <c r="FC97" s="813">
        <f t="shared" si="73"/>
        <v>48</v>
      </c>
      <c r="FD97" s="814">
        <f t="shared" si="114"/>
        <v>2673.4011749674478</v>
      </c>
      <c r="FE97" s="942">
        <f t="shared" si="115"/>
        <v>0.85</v>
      </c>
      <c r="FF97" s="938">
        <f t="shared" si="116"/>
        <v>783831.7862578124</v>
      </c>
      <c r="FG97" s="940">
        <f t="shared" si="117"/>
        <v>7045.3016908127875</v>
      </c>
      <c r="FH97" s="940">
        <f t="shared" si="118"/>
        <v>9100.9516665612191</v>
      </c>
      <c r="FI97" s="940">
        <f t="shared" si="119"/>
        <v>15520.808821927765</v>
      </c>
      <c r="FJ97" s="840"/>
      <c r="FK97" s="938">
        <f t="shared" si="126"/>
        <v>-1466.0587088531161</v>
      </c>
      <c r="FN97" s="957"/>
      <c r="FO97" s="957"/>
      <c r="FP97" s="957"/>
      <c r="FU97" s="957"/>
      <c r="FV97" s="957"/>
    </row>
    <row r="98" spans="1:178" s="717" customFormat="1" ht="14.5" hidden="1" x14ac:dyDescent="0.35">
      <c r="A98" s="813">
        <f t="shared" si="120"/>
        <v>87</v>
      </c>
      <c r="B98" s="813"/>
      <c r="C98" s="813" t="s">
        <v>378</v>
      </c>
      <c r="D98" s="813">
        <f t="shared" si="74"/>
        <v>34</v>
      </c>
      <c r="E98" s="813" t="s">
        <v>379</v>
      </c>
      <c r="F98" s="575" t="s">
        <v>560</v>
      </c>
      <c r="G98" s="575" t="s">
        <v>375</v>
      </c>
      <c r="H98" s="575">
        <v>13.5</v>
      </c>
      <c r="I98" s="814">
        <v>52000</v>
      </c>
      <c r="J98" s="815">
        <f t="shared" si="82"/>
        <v>702000</v>
      </c>
      <c r="K98" s="815"/>
      <c r="L98" s="815"/>
      <c r="M98" s="815"/>
      <c r="N98" s="815">
        <f t="shared" si="83"/>
        <v>702000</v>
      </c>
      <c r="O98" s="815">
        <f t="shared" si="84"/>
        <v>17550</v>
      </c>
      <c r="P98" s="815">
        <f t="shared" si="85"/>
        <v>719550</v>
      </c>
      <c r="Q98" s="948">
        <f t="shared" si="86"/>
        <v>1.2500000000000001E-2</v>
      </c>
      <c r="R98" s="815">
        <f t="shared" si="87"/>
        <v>8994.375</v>
      </c>
      <c r="S98" s="955" t="s">
        <v>450</v>
      </c>
      <c r="T98" s="955">
        <f t="shared" si="88"/>
        <v>728544.375</v>
      </c>
      <c r="U98" s="955"/>
      <c r="V98" s="955">
        <f t="shared" si="89"/>
        <v>27320.4140625</v>
      </c>
      <c r="W98" s="955">
        <f t="shared" si="90"/>
        <v>755864.7890625</v>
      </c>
      <c r="X98" s="955"/>
      <c r="Y98" s="955">
        <f t="shared" si="91"/>
        <v>755864.7890625</v>
      </c>
      <c r="Z98" s="955"/>
      <c r="AA98" s="955">
        <f t="shared" si="92"/>
        <v>755864.7890625</v>
      </c>
      <c r="AB98" s="955"/>
      <c r="AC98" s="955">
        <f t="shared" si="93"/>
        <v>755864.7890625</v>
      </c>
      <c r="AD98" s="955"/>
      <c r="AE98" s="955">
        <f t="shared" si="94"/>
        <v>755864.7890625</v>
      </c>
      <c r="AF98" s="955"/>
      <c r="AG98" s="955">
        <f t="shared" si="95"/>
        <v>755864.7890625</v>
      </c>
      <c r="AH98" s="955"/>
      <c r="AI98" s="955">
        <f t="shared" si="96"/>
        <v>755864.7890625</v>
      </c>
      <c r="AJ98" s="955"/>
      <c r="AK98" s="955">
        <f t="shared" si="97"/>
        <v>755864.7890625</v>
      </c>
      <c r="AL98" s="955"/>
      <c r="AM98" s="955">
        <f t="shared" si="98"/>
        <v>755864.7890625</v>
      </c>
      <c r="AN98" s="955"/>
      <c r="AO98" s="955">
        <f t="shared" si="99"/>
        <v>755864.7890625</v>
      </c>
      <c r="AP98" s="955"/>
      <c r="AQ98" s="1000">
        <f t="shared" si="100"/>
        <v>755864.7890625</v>
      </c>
      <c r="AR98" s="955"/>
      <c r="AS98" s="1000">
        <f t="shared" si="101"/>
        <v>755864.7890625</v>
      </c>
      <c r="AT98" s="815">
        <f t="shared" si="102"/>
        <v>755864.7890625</v>
      </c>
      <c r="AU98" s="815">
        <f t="shared" si="103"/>
        <v>90703.774687500001</v>
      </c>
      <c r="AV98" s="815">
        <f t="shared" si="104"/>
        <v>75586.478906250006</v>
      </c>
      <c r="AW98" s="815">
        <f t="shared" si="105"/>
        <v>922155.04265624995</v>
      </c>
      <c r="AX98" s="816">
        <v>0.15</v>
      </c>
      <c r="AY98" s="815">
        <f t="shared" si="121"/>
        <v>138323.25639843749</v>
      </c>
      <c r="AZ98" s="815">
        <v>10000</v>
      </c>
      <c r="BA98" s="815">
        <f t="shared" si="122"/>
        <v>128323.25639843749</v>
      </c>
      <c r="BB98" s="825">
        <f t="shared" si="71"/>
        <v>31</v>
      </c>
      <c r="BC98" s="814">
        <f t="shared" si="123"/>
        <v>4139.4598838205638</v>
      </c>
      <c r="BD98" s="817">
        <f t="shared" si="106"/>
        <v>0.85</v>
      </c>
      <c r="BE98" s="815">
        <f t="shared" si="124"/>
        <v>783831.7862578124</v>
      </c>
      <c r="BF98" s="833">
        <f t="shared" si="107"/>
        <v>7045.3016908127875</v>
      </c>
      <c r="BG98" s="833">
        <f t="shared" si="108"/>
        <v>9100.9516665612191</v>
      </c>
      <c r="BH98" s="833">
        <f t="shared" si="109"/>
        <v>15520.808821927765</v>
      </c>
      <c r="BK98" s="818"/>
      <c r="BL98" s="907">
        <f t="shared" si="75"/>
        <v>46082</v>
      </c>
      <c r="BM98" s="908">
        <f t="shared" si="110"/>
        <v>29</v>
      </c>
      <c r="BN98" s="909"/>
      <c r="BO98" s="907">
        <f t="shared" si="111"/>
        <v>46147</v>
      </c>
      <c r="BP98" s="914">
        <f t="shared" si="72"/>
        <v>31</v>
      </c>
      <c r="BQ98" s="818"/>
      <c r="BR98" s="818"/>
      <c r="BS98" s="818"/>
      <c r="BT98" s="818"/>
      <c r="BU98" s="818"/>
      <c r="BV98" s="818"/>
      <c r="BW98" s="818"/>
      <c r="BX98" s="818"/>
      <c r="BY98" s="818"/>
      <c r="BZ98" s="818"/>
      <c r="CA98" s="969" t="s">
        <v>262</v>
      </c>
      <c r="CB98" s="812" t="s">
        <v>262</v>
      </c>
      <c r="CC98" s="832" t="b">
        <f t="shared" si="112"/>
        <v>1</v>
      </c>
      <c r="CD98" s="717" t="s">
        <v>262</v>
      </c>
      <c r="CE98" s="949" t="b">
        <f t="shared" si="113"/>
        <v>1</v>
      </c>
      <c r="CG98" s="842"/>
      <c r="CH98" s="878"/>
      <c r="ED98" s="947"/>
      <c r="EF98" s="947"/>
      <c r="EG98" s="947"/>
      <c r="EH98" s="947"/>
      <c r="EI98" s="947"/>
      <c r="EJ98" s="947"/>
      <c r="EK98" s="947"/>
      <c r="EL98" s="947"/>
      <c r="EW98" s="840"/>
      <c r="EX98" s="938">
        <f t="shared" si="77"/>
        <v>922155.04265624995</v>
      </c>
      <c r="EY98" s="942">
        <f t="shared" si="78"/>
        <v>0.15</v>
      </c>
      <c r="EZ98" s="938">
        <f t="shared" si="79"/>
        <v>138323.25639843749</v>
      </c>
      <c r="FA98" s="938">
        <f t="shared" si="80"/>
        <v>10000</v>
      </c>
      <c r="FB98" s="938">
        <f t="shared" si="81"/>
        <v>128323.25639843749</v>
      </c>
      <c r="FC98" s="813">
        <f t="shared" si="73"/>
        <v>48</v>
      </c>
      <c r="FD98" s="814">
        <f t="shared" si="114"/>
        <v>2673.4011749674478</v>
      </c>
      <c r="FE98" s="942">
        <f t="shared" si="115"/>
        <v>0.85</v>
      </c>
      <c r="FF98" s="938">
        <f t="shared" si="116"/>
        <v>783831.7862578124</v>
      </c>
      <c r="FG98" s="940">
        <f t="shared" si="117"/>
        <v>7045.3016908127875</v>
      </c>
      <c r="FH98" s="940">
        <f t="shared" si="118"/>
        <v>9100.9516665612191</v>
      </c>
      <c r="FI98" s="940">
        <f t="shared" si="119"/>
        <v>15520.808821927765</v>
      </c>
      <c r="FJ98" s="840"/>
      <c r="FK98" s="938">
        <f t="shared" si="126"/>
        <v>-1466.0587088531161</v>
      </c>
      <c r="FN98" s="957"/>
      <c r="FO98" s="957"/>
      <c r="FP98" s="957"/>
      <c r="FU98" s="957"/>
      <c r="FV98" s="957"/>
    </row>
    <row r="99" spans="1:178" s="717" customFormat="1" ht="14.5" hidden="1" x14ac:dyDescent="0.35">
      <c r="A99" s="813">
        <f t="shared" si="120"/>
        <v>88</v>
      </c>
      <c r="B99" s="813"/>
      <c r="C99" s="813" t="s">
        <v>378</v>
      </c>
      <c r="D99" s="813">
        <f t="shared" si="74"/>
        <v>35</v>
      </c>
      <c r="E99" s="813" t="s">
        <v>379</v>
      </c>
      <c r="F99" s="575" t="s">
        <v>561</v>
      </c>
      <c r="G99" s="575" t="s">
        <v>375</v>
      </c>
      <c r="H99" s="575">
        <v>13.5</v>
      </c>
      <c r="I99" s="814">
        <v>52000</v>
      </c>
      <c r="J99" s="815">
        <f t="shared" si="82"/>
        <v>702000</v>
      </c>
      <c r="K99" s="815"/>
      <c r="L99" s="815"/>
      <c r="M99" s="815"/>
      <c r="N99" s="815">
        <f t="shared" si="83"/>
        <v>702000</v>
      </c>
      <c r="O99" s="815">
        <f t="shared" si="84"/>
        <v>17550</v>
      </c>
      <c r="P99" s="815">
        <f t="shared" si="85"/>
        <v>719550</v>
      </c>
      <c r="Q99" s="948">
        <f t="shared" si="86"/>
        <v>1.2500000000000001E-2</v>
      </c>
      <c r="R99" s="815">
        <f t="shared" si="87"/>
        <v>8994.375</v>
      </c>
      <c r="S99" s="955" t="s">
        <v>450</v>
      </c>
      <c r="T99" s="955">
        <f t="shared" si="88"/>
        <v>728544.375</v>
      </c>
      <c r="U99" s="955"/>
      <c r="V99" s="955">
        <f t="shared" si="89"/>
        <v>27320.4140625</v>
      </c>
      <c r="W99" s="955">
        <f t="shared" si="90"/>
        <v>755864.7890625</v>
      </c>
      <c r="X99" s="955"/>
      <c r="Y99" s="955">
        <f t="shared" si="91"/>
        <v>755864.7890625</v>
      </c>
      <c r="Z99" s="955"/>
      <c r="AA99" s="955">
        <f t="shared" si="92"/>
        <v>755864.7890625</v>
      </c>
      <c r="AB99" s="955"/>
      <c r="AC99" s="955">
        <f t="shared" si="93"/>
        <v>755864.7890625</v>
      </c>
      <c r="AD99" s="955"/>
      <c r="AE99" s="955">
        <f t="shared" si="94"/>
        <v>755864.7890625</v>
      </c>
      <c r="AF99" s="955"/>
      <c r="AG99" s="955">
        <f t="shared" si="95"/>
        <v>755864.7890625</v>
      </c>
      <c r="AH99" s="955"/>
      <c r="AI99" s="955">
        <f t="shared" si="96"/>
        <v>755864.7890625</v>
      </c>
      <c r="AJ99" s="955"/>
      <c r="AK99" s="955">
        <f t="shared" si="97"/>
        <v>755864.7890625</v>
      </c>
      <c r="AL99" s="955"/>
      <c r="AM99" s="955">
        <f t="shared" si="98"/>
        <v>755864.7890625</v>
      </c>
      <c r="AN99" s="955"/>
      <c r="AO99" s="955">
        <f t="shared" si="99"/>
        <v>755864.7890625</v>
      </c>
      <c r="AP99" s="955"/>
      <c r="AQ99" s="1000">
        <f t="shared" si="100"/>
        <v>755864.7890625</v>
      </c>
      <c r="AR99" s="955"/>
      <c r="AS99" s="1000">
        <f t="shared" si="101"/>
        <v>755864.7890625</v>
      </c>
      <c r="AT99" s="815">
        <f t="shared" si="102"/>
        <v>755864.7890625</v>
      </c>
      <c r="AU99" s="815">
        <f t="shared" si="103"/>
        <v>90703.774687500001</v>
      </c>
      <c r="AV99" s="815">
        <f t="shared" si="104"/>
        <v>75586.478906250006</v>
      </c>
      <c r="AW99" s="815">
        <f t="shared" si="105"/>
        <v>922155.04265624995</v>
      </c>
      <c r="AX99" s="816">
        <v>0.15</v>
      </c>
      <c r="AY99" s="815">
        <f t="shared" si="121"/>
        <v>138323.25639843749</v>
      </c>
      <c r="AZ99" s="815">
        <v>10000</v>
      </c>
      <c r="BA99" s="815">
        <f t="shared" si="122"/>
        <v>128323.25639843749</v>
      </c>
      <c r="BB99" s="825">
        <f t="shared" si="71"/>
        <v>31</v>
      </c>
      <c r="BC99" s="814">
        <f t="shared" si="123"/>
        <v>4139.4598838205638</v>
      </c>
      <c r="BD99" s="817">
        <f t="shared" si="106"/>
        <v>0.85</v>
      </c>
      <c r="BE99" s="815">
        <f t="shared" si="124"/>
        <v>783831.7862578124</v>
      </c>
      <c r="BF99" s="833">
        <f t="shared" si="107"/>
        <v>7045.3016908127875</v>
      </c>
      <c r="BG99" s="833">
        <f t="shared" si="108"/>
        <v>9100.9516665612191</v>
      </c>
      <c r="BH99" s="833">
        <f t="shared" si="109"/>
        <v>15520.808821927765</v>
      </c>
      <c r="BK99" s="818"/>
      <c r="BL99" s="907">
        <f t="shared" si="75"/>
        <v>46082</v>
      </c>
      <c r="BM99" s="908">
        <f t="shared" si="110"/>
        <v>29</v>
      </c>
      <c r="BN99" s="909"/>
      <c r="BO99" s="907">
        <f t="shared" si="111"/>
        <v>46147</v>
      </c>
      <c r="BP99" s="914">
        <f t="shared" si="72"/>
        <v>31</v>
      </c>
      <c r="BQ99" s="818"/>
      <c r="BR99" s="818"/>
      <c r="BS99" s="818"/>
      <c r="BT99" s="818"/>
      <c r="BU99" s="818"/>
      <c r="BV99" s="818"/>
      <c r="BW99" s="818"/>
      <c r="BX99" s="818"/>
      <c r="BY99" s="818"/>
      <c r="BZ99" s="818"/>
      <c r="CA99" s="969" t="s">
        <v>262</v>
      </c>
      <c r="CB99" s="812" t="s">
        <v>262</v>
      </c>
      <c r="CC99" s="832" t="b">
        <f t="shared" si="112"/>
        <v>1</v>
      </c>
      <c r="CD99" s="717" t="s">
        <v>262</v>
      </c>
      <c r="CE99" s="949" t="b">
        <f t="shared" si="113"/>
        <v>1</v>
      </c>
      <c r="CG99" s="842"/>
      <c r="CH99" s="878"/>
      <c r="ED99" s="947"/>
      <c r="EF99" s="947"/>
      <c r="EG99" s="947"/>
      <c r="EH99" s="947"/>
      <c r="EI99" s="947"/>
      <c r="EJ99" s="947"/>
      <c r="EK99" s="947"/>
      <c r="EL99" s="947"/>
      <c r="EW99" s="840"/>
      <c r="EX99" s="938">
        <f t="shared" si="77"/>
        <v>922155.04265624995</v>
      </c>
      <c r="EY99" s="942">
        <f t="shared" si="78"/>
        <v>0.15</v>
      </c>
      <c r="EZ99" s="938">
        <f t="shared" si="79"/>
        <v>138323.25639843749</v>
      </c>
      <c r="FA99" s="938">
        <f t="shared" si="80"/>
        <v>10000</v>
      </c>
      <c r="FB99" s="938">
        <f t="shared" si="81"/>
        <v>128323.25639843749</v>
      </c>
      <c r="FC99" s="813">
        <f t="shared" si="73"/>
        <v>48</v>
      </c>
      <c r="FD99" s="814">
        <f t="shared" si="114"/>
        <v>2673.4011749674478</v>
      </c>
      <c r="FE99" s="942">
        <f t="shared" si="115"/>
        <v>0.85</v>
      </c>
      <c r="FF99" s="938">
        <f t="shared" si="116"/>
        <v>783831.7862578124</v>
      </c>
      <c r="FG99" s="940">
        <f t="shared" si="117"/>
        <v>7045.3016908127875</v>
      </c>
      <c r="FH99" s="940">
        <f t="shared" si="118"/>
        <v>9100.9516665612191</v>
      </c>
      <c r="FI99" s="940">
        <f t="shared" si="119"/>
        <v>15520.808821927765</v>
      </c>
      <c r="FJ99" s="840"/>
      <c r="FK99" s="938">
        <f t="shared" si="126"/>
        <v>-1466.0587088531161</v>
      </c>
      <c r="FN99" s="957"/>
      <c r="FO99" s="957"/>
      <c r="FP99" s="957"/>
      <c r="FU99" s="957"/>
      <c r="FV99" s="957"/>
    </row>
    <row r="100" spans="1:178" s="717" customFormat="1" ht="14.5" hidden="1" x14ac:dyDescent="0.35">
      <c r="A100" s="1052">
        <f t="shared" si="120"/>
        <v>89</v>
      </c>
      <c r="B100" s="813"/>
      <c r="C100" s="1052" t="s">
        <v>378</v>
      </c>
      <c r="D100" s="813">
        <f t="shared" si="74"/>
        <v>36</v>
      </c>
      <c r="E100" s="1052" t="s">
        <v>379</v>
      </c>
      <c r="F100" s="1053" t="s">
        <v>562</v>
      </c>
      <c r="G100" s="1053" t="s">
        <v>375</v>
      </c>
      <c r="H100" s="1053">
        <v>13.5</v>
      </c>
      <c r="I100" s="1054">
        <v>52000</v>
      </c>
      <c r="J100" s="950">
        <f t="shared" si="82"/>
        <v>702000</v>
      </c>
      <c r="K100" s="950"/>
      <c r="L100" s="950"/>
      <c r="M100" s="950"/>
      <c r="N100" s="950">
        <f t="shared" si="83"/>
        <v>702000</v>
      </c>
      <c r="O100" s="950">
        <f t="shared" si="84"/>
        <v>17550</v>
      </c>
      <c r="P100" s="950">
        <f t="shared" si="85"/>
        <v>719550</v>
      </c>
      <c r="Q100" s="1056">
        <f t="shared" si="86"/>
        <v>1.2500000000000001E-2</v>
      </c>
      <c r="R100" s="950">
        <f t="shared" si="87"/>
        <v>8994.375</v>
      </c>
      <c r="S100" s="1057" t="s">
        <v>450</v>
      </c>
      <c r="T100" s="1057">
        <f t="shared" si="88"/>
        <v>728544.375</v>
      </c>
      <c r="U100" s="1057"/>
      <c r="V100" s="1057">
        <f t="shared" si="89"/>
        <v>27320.4140625</v>
      </c>
      <c r="W100" s="1057">
        <f t="shared" si="90"/>
        <v>755864.7890625</v>
      </c>
      <c r="X100" s="1057"/>
      <c r="Y100" s="1057">
        <f t="shared" si="91"/>
        <v>755864.7890625</v>
      </c>
      <c r="Z100" s="1057"/>
      <c r="AA100" s="1057">
        <f t="shared" si="92"/>
        <v>755864.7890625</v>
      </c>
      <c r="AB100" s="1057"/>
      <c r="AC100" s="1057">
        <f t="shared" si="93"/>
        <v>755864.7890625</v>
      </c>
      <c r="AD100" s="1057"/>
      <c r="AE100" s="1057">
        <f t="shared" si="94"/>
        <v>755864.7890625</v>
      </c>
      <c r="AF100" s="1057"/>
      <c r="AG100" s="1057">
        <f t="shared" si="95"/>
        <v>755864.7890625</v>
      </c>
      <c r="AH100" s="1057"/>
      <c r="AI100" s="1057">
        <f t="shared" si="96"/>
        <v>755864.7890625</v>
      </c>
      <c r="AJ100" s="1057"/>
      <c r="AK100" s="1057">
        <f t="shared" si="97"/>
        <v>755864.7890625</v>
      </c>
      <c r="AL100" s="1057"/>
      <c r="AM100" s="1057">
        <f t="shared" si="98"/>
        <v>755864.7890625</v>
      </c>
      <c r="AN100" s="1057"/>
      <c r="AO100" s="1057">
        <f t="shared" si="99"/>
        <v>755864.7890625</v>
      </c>
      <c r="AP100" s="1057"/>
      <c r="AQ100" s="1000">
        <f t="shared" si="100"/>
        <v>755864.7890625</v>
      </c>
      <c r="AR100" s="1057"/>
      <c r="AS100" s="1000">
        <f t="shared" si="101"/>
        <v>755864.7890625</v>
      </c>
      <c r="AT100" s="950">
        <f t="shared" si="102"/>
        <v>755864.7890625</v>
      </c>
      <c r="AU100" s="950">
        <f t="shared" si="103"/>
        <v>90703.774687500001</v>
      </c>
      <c r="AV100" s="950">
        <f t="shared" si="104"/>
        <v>75586.478906250006</v>
      </c>
      <c r="AW100" s="950">
        <f t="shared" si="105"/>
        <v>922155.04265624995</v>
      </c>
      <c r="AX100" s="1058">
        <v>0.15</v>
      </c>
      <c r="AY100" s="950">
        <f t="shared" si="121"/>
        <v>138323.25639843749</v>
      </c>
      <c r="AZ100" s="950">
        <v>10000</v>
      </c>
      <c r="BA100" s="950">
        <f t="shared" si="122"/>
        <v>128323.25639843749</v>
      </c>
      <c r="BB100" s="1055">
        <f t="shared" si="71"/>
        <v>31</v>
      </c>
      <c r="BC100" s="1054">
        <f t="shared" si="123"/>
        <v>4139.4598838205638</v>
      </c>
      <c r="BD100" s="1059">
        <f t="shared" si="106"/>
        <v>0.85</v>
      </c>
      <c r="BE100" s="950">
        <f t="shared" si="124"/>
        <v>783831.7862578124</v>
      </c>
      <c r="BF100" s="1060">
        <f t="shared" si="107"/>
        <v>7045.3016908127875</v>
      </c>
      <c r="BG100" s="1060">
        <f t="shared" si="108"/>
        <v>9100.9516665612191</v>
      </c>
      <c r="BH100" s="1060">
        <f t="shared" si="109"/>
        <v>15520.808821927765</v>
      </c>
      <c r="BK100" s="818"/>
      <c r="BL100" s="907">
        <f t="shared" si="75"/>
        <v>46082</v>
      </c>
      <c r="BM100" s="908">
        <f t="shared" si="110"/>
        <v>29</v>
      </c>
      <c r="BN100" s="909"/>
      <c r="BO100" s="907">
        <f t="shared" si="111"/>
        <v>46147</v>
      </c>
      <c r="BP100" s="914">
        <f t="shared" si="72"/>
        <v>31</v>
      </c>
      <c r="BQ100" s="818"/>
      <c r="BR100" s="818"/>
      <c r="BS100" s="818"/>
      <c r="BT100" s="818"/>
      <c r="BU100" s="818"/>
      <c r="BV100" s="818"/>
      <c r="BW100" s="818"/>
      <c r="BX100" s="818"/>
      <c r="BY100" s="818"/>
      <c r="BZ100" s="818"/>
      <c r="CA100" s="969" t="s">
        <v>262</v>
      </c>
      <c r="CB100" s="812" t="s">
        <v>262</v>
      </c>
      <c r="CC100" s="832" t="b">
        <f t="shared" si="112"/>
        <v>1</v>
      </c>
      <c r="CD100" s="717" t="s">
        <v>262</v>
      </c>
      <c r="CE100" s="949" t="b">
        <f t="shared" si="113"/>
        <v>1</v>
      </c>
      <c r="CG100" s="842"/>
      <c r="CH100" s="878"/>
      <c r="ED100" s="947"/>
      <c r="EF100" s="947"/>
      <c r="EG100" s="947"/>
      <c r="EH100" s="947"/>
      <c r="EI100" s="947"/>
      <c r="EJ100" s="947"/>
      <c r="EK100" s="947"/>
      <c r="EL100" s="947"/>
      <c r="EW100" s="840"/>
      <c r="EX100" s="938">
        <f t="shared" si="77"/>
        <v>922155.04265624995</v>
      </c>
      <c r="EY100" s="942">
        <f t="shared" si="78"/>
        <v>0.15</v>
      </c>
      <c r="EZ100" s="938">
        <f t="shared" si="79"/>
        <v>138323.25639843749</v>
      </c>
      <c r="FA100" s="938">
        <f t="shared" si="80"/>
        <v>10000</v>
      </c>
      <c r="FB100" s="938">
        <f t="shared" si="81"/>
        <v>128323.25639843749</v>
      </c>
      <c r="FC100" s="813">
        <f t="shared" si="73"/>
        <v>48</v>
      </c>
      <c r="FD100" s="814">
        <f t="shared" si="114"/>
        <v>2673.4011749674478</v>
      </c>
      <c r="FE100" s="942">
        <f t="shared" si="115"/>
        <v>0.85</v>
      </c>
      <c r="FF100" s="938">
        <f t="shared" si="116"/>
        <v>783831.7862578124</v>
      </c>
      <c r="FG100" s="940">
        <f t="shared" si="117"/>
        <v>7045.3016908127875</v>
      </c>
      <c r="FH100" s="940">
        <f t="shared" si="118"/>
        <v>9100.9516665612191</v>
      </c>
      <c r="FI100" s="940">
        <f t="shared" si="119"/>
        <v>15520.808821927765</v>
      </c>
      <c r="FJ100" s="840"/>
      <c r="FK100" s="938">
        <f t="shared" si="126"/>
        <v>-1466.0587088531161</v>
      </c>
      <c r="FN100" s="957"/>
      <c r="FO100" s="957"/>
      <c r="FP100" s="957"/>
      <c r="FU100" s="957"/>
      <c r="FV100" s="957"/>
    </row>
    <row r="101" spans="1:178" s="717" customFormat="1" ht="14.5" x14ac:dyDescent="0.35">
      <c r="A101" s="813">
        <f t="shared" si="120"/>
        <v>90</v>
      </c>
      <c r="B101" s="813"/>
      <c r="C101" s="813" t="s">
        <v>378</v>
      </c>
      <c r="D101" s="813">
        <f t="shared" si="74"/>
        <v>37</v>
      </c>
      <c r="E101" s="813" t="s">
        <v>379</v>
      </c>
      <c r="F101" s="575" t="s">
        <v>563</v>
      </c>
      <c r="G101" s="575" t="s">
        <v>375</v>
      </c>
      <c r="H101" s="575">
        <v>13.5</v>
      </c>
      <c r="I101" s="814">
        <v>52000</v>
      </c>
      <c r="J101" s="815">
        <f t="shared" si="82"/>
        <v>702000</v>
      </c>
      <c r="K101" s="815"/>
      <c r="L101" s="815"/>
      <c r="M101" s="815"/>
      <c r="N101" s="815">
        <f t="shared" si="83"/>
        <v>702000</v>
      </c>
      <c r="O101" s="815">
        <f t="shared" si="84"/>
        <v>17550</v>
      </c>
      <c r="P101" s="815">
        <f t="shared" si="85"/>
        <v>719550</v>
      </c>
      <c r="Q101" s="948">
        <f t="shared" si="86"/>
        <v>1.2500000000000001E-2</v>
      </c>
      <c r="R101" s="815">
        <f t="shared" si="87"/>
        <v>8994.375</v>
      </c>
      <c r="S101" s="955">
        <v>0</v>
      </c>
      <c r="T101" s="955">
        <f t="shared" si="88"/>
        <v>728544.375</v>
      </c>
      <c r="U101" s="955"/>
      <c r="V101" s="955">
        <f t="shared" si="89"/>
        <v>27320.4140625</v>
      </c>
      <c r="W101" s="955">
        <f t="shared" si="90"/>
        <v>755864.7890625</v>
      </c>
      <c r="X101" s="955"/>
      <c r="Y101" s="955">
        <f t="shared" si="91"/>
        <v>755864.7890625</v>
      </c>
      <c r="Z101" s="955"/>
      <c r="AA101" s="955">
        <f t="shared" si="92"/>
        <v>755864.7890625</v>
      </c>
      <c r="AB101" s="955"/>
      <c r="AC101" s="955">
        <f t="shared" si="93"/>
        <v>755864.7890625</v>
      </c>
      <c r="AD101" s="955"/>
      <c r="AE101" s="955">
        <f t="shared" si="94"/>
        <v>755864.7890625</v>
      </c>
      <c r="AF101" s="955"/>
      <c r="AG101" s="955">
        <f t="shared" si="95"/>
        <v>755864.7890625</v>
      </c>
      <c r="AH101" s="955"/>
      <c r="AI101" s="955">
        <f t="shared" si="96"/>
        <v>755864.7890625</v>
      </c>
      <c r="AJ101" s="955"/>
      <c r="AK101" s="955">
        <f t="shared" si="97"/>
        <v>755864.7890625</v>
      </c>
      <c r="AL101" s="955"/>
      <c r="AM101" s="955">
        <f t="shared" si="98"/>
        <v>755864.7890625</v>
      </c>
      <c r="AN101" s="955">
        <f>$AN$10/10</f>
        <v>1738.8761600000003</v>
      </c>
      <c r="AO101" s="1000">
        <f t="shared" si="99"/>
        <v>757603.66522249999</v>
      </c>
      <c r="AP101" s="1000"/>
      <c r="AQ101" s="1000">
        <f t="shared" si="100"/>
        <v>757603.66522249999</v>
      </c>
      <c r="AR101" s="1000"/>
      <c r="AS101" s="1000">
        <f t="shared" si="101"/>
        <v>757603.66522249999</v>
      </c>
      <c r="AT101" s="815">
        <f t="shared" si="102"/>
        <v>757603.66522249999</v>
      </c>
      <c r="AU101" s="815">
        <f t="shared" si="103"/>
        <v>90912.439826699992</v>
      </c>
      <c r="AV101" s="815">
        <f t="shared" si="104"/>
        <v>75760.366522249999</v>
      </c>
      <c r="AW101" s="815">
        <f t="shared" si="105"/>
        <v>924276.47157145001</v>
      </c>
      <c r="AX101" s="816">
        <v>0.15</v>
      </c>
      <c r="AY101" s="815">
        <f t="shared" si="121"/>
        <v>138641.47073571751</v>
      </c>
      <c r="AZ101" s="815">
        <v>10000</v>
      </c>
      <c r="BA101" s="815">
        <f t="shared" si="122"/>
        <v>128641.47073571751</v>
      </c>
      <c r="BB101" s="815">
        <f t="shared" si="71"/>
        <v>31</v>
      </c>
      <c r="BC101" s="814">
        <f t="shared" si="123"/>
        <v>4149.7248624425001</v>
      </c>
      <c r="BD101" s="817">
        <f t="shared" si="106"/>
        <v>0.85</v>
      </c>
      <c r="BE101" s="815">
        <f t="shared" si="124"/>
        <v>785635.00083573244</v>
      </c>
      <c r="BF101" s="833">
        <f t="shared" si="107"/>
        <v>7061.5094932232651</v>
      </c>
      <c r="BG101" s="833">
        <f t="shared" si="108"/>
        <v>9121.8885167959343</v>
      </c>
      <c r="BH101" s="833">
        <f t="shared" si="109"/>
        <v>15556.514631796012</v>
      </c>
      <c r="BK101" s="818"/>
      <c r="BL101" s="907">
        <f t="shared" si="75"/>
        <v>46082</v>
      </c>
      <c r="BM101" s="908">
        <f t="shared" si="110"/>
        <v>29</v>
      </c>
      <c r="BN101" s="909"/>
      <c r="BO101" s="907">
        <f t="shared" si="111"/>
        <v>46147</v>
      </c>
      <c r="BP101" s="914">
        <f t="shared" si="72"/>
        <v>31</v>
      </c>
      <c r="BQ101" s="818"/>
      <c r="BR101" s="818"/>
      <c r="BS101" s="818"/>
      <c r="BT101" s="818"/>
      <c r="BU101" s="818"/>
      <c r="BV101" s="818"/>
      <c r="BW101" s="818"/>
      <c r="BX101" s="818"/>
      <c r="BY101" s="818"/>
      <c r="BZ101" s="818"/>
      <c r="CA101" s="969" t="s">
        <v>263</v>
      </c>
      <c r="CB101" s="812" t="s">
        <v>263</v>
      </c>
      <c r="CC101" s="832" t="b">
        <f t="shared" si="112"/>
        <v>1</v>
      </c>
      <c r="CD101" s="717" t="s">
        <v>263</v>
      </c>
      <c r="CE101" s="949" t="b">
        <f t="shared" si="113"/>
        <v>1</v>
      </c>
      <c r="CG101" s="842"/>
      <c r="CH101" s="878"/>
      <c r="ED101" s="947"/>
      <c r="EF101" s="947"/>
      <c r="EG101" s="947"/>
      <c r="EH101" s="947"/>
      <c r="EI101" s="947"/>
      <c r="EJ101" s="947"/>
      <c r="EK101" s="947"/>
      <c r="EL101" s="947"/>
      <c r="EW101" s="840"/>
      <c r="EX101" s="938">
        <f t="shared" si="77"/>
        <v>924276.47157145001</v>
      </c>
      <c r="EY101" s="942">
        <f t="shared" si="78"/>
        <v>0.15</v>
      </c>
      <c r="EZ101" s="938">
        <f t="shared" si="79"/>
        <v>138641.47073571751</v>
      </c>
      <c r="FA101" s="938">
        <f t="shared" si="80"/>
        <v>10000</v>
      </c>
      <c r="FB101" s="938">
        <f t="shared" si="81"/>
        <v>128641.47073571751</v>
      </c>
      <c r="FC101" s="813">
        <f t="shared" si="73"/>
        <v>48</v>
      </c>
      <c r="FD101" s="814">
        <f t="shared" si="114"/>
        <v>2680.0306403274481</v>
      </c>
      <c r="FE101" s="942">
        <f t="shared" si="115"/>
        <v>0.85</v>
      </c>
      <c r="FF101" s="938">
        <f t="shared" si="116"/>
        <v>785635.00083573244</v>
      </c>
      <c r="FG101" s="940">
        <f t="shared" si="117"/>
        <v>7061.5094932232651</v>
      </c>
      <c r="FH101" s="940">
        <f t="shared" si="118"/>
        <v>9121.8885167959343</v>
      </c>
      <c r="FI101" s="940">
        <f t="shared" si="119"/>
        <v>15556.514631796012</v>
      </c>
      <c r="FJ101" s="840"/>
      <c r="FK101" s="938">
        <f t="shared" si="126"/>
        <v>-1469.6942221150521</v>
      </c>
      <c r="FN101" s="957"/>
      <c r="FO101" s="957"/>
      <c r="FP101" s="957"/>
      <c r="FU101" s="957"/>
      <c r="FV101" s="957"/>
    </row>
    <row r="102" spans="1:178" s="717" customFormat="1" ht="14.5" hidden="1" x14ac:dyDescent="0.35">
      <c r="A102" s="822">
        <f t="shared" si="120"/>
        <v>91</v>
      </c>
      <c r="B102" s="813"/>
      <c r="C102" s="822" t="s">
        <v>378</v>
      </c>
      <c r="D102" s="813">
        <f t="shared" si="74"/>
        <v>38</v>
      </c>
      <c r="E102" s="822" t="s">
        <v>379</v>
      </c>
      <c r="F102" s="823" t="s">
        <v>564</v>
      </c>
      <c r="G102" s="823" t="s">
        <v>375</v>
      </c>
      <c r="H102" s="823">
        <v>13.5</v>
      </c>
      <c r="I102" s="824">
        <v>52000</v>
      </c>
      <c r="J102" s="825">
        <f t="shared" si="82"/>
        <v>702000</v>
      </c>
      <c r="K102" s="825"/>
      <c r="L102" s="825"/>
      <c r="M102" s="825"/>
      <c r="N102" s="825">
        <f t="shared" si="83"/>
        <v>702000</v>
      </c>
      <c r="O102" s="825">
        <f t="shared" si="84"/>
        <v>17550</v>
      </c>
      <c r="P102" s="825">
        <f t="shared" si="85"/>
        <v>719550</v>
      </c>
      <c r="Q102" s="1088">
        <f t="shared" si="86"/>
        <v>1.2500000000000001E-2</v>
      </c>
      <c r="R102" s="825">
        <f t="shared" si="87"/>
        <v>8994.375</v>
      </c>
      <c r="S102" s="1089">
        <v>0</v>
      </c>
      <c r="T102" s="1089">
        <f t="shared" si="88"/>
        <v>728544.375</v>
      </c>
      <c r="U102" s="1089"/>
      <c r="V102" s="1089">
        <f t="shared" si="89"/>
        <v>27320.4140625</v>
      </c>
      <c r="W102" s="1089">
        <f t="shared" si="90"/>
        <v>755864.7890625</v>
      </c>
      <c r="X102" s="1089"/>
      <c r="Y102" s="1089">
        <f t="shared" si="91"/>
        <v>755864.7890625</v>
      </c>
      <c r="Z102" s="1089"/>
      <c r="AA102" s="1089">
        <f t="shared" si="92"/>
        <v>755864.7890625</v>
      </c>
      <c r="AB102" s="1089"/>
      <c r="AC102" s="1089">
        <f t="shared" si="93"/>
        <v>755864.7890625</v>
      </c>
      <c r="AD102" s="1089"/>
      <c r="AE102" s="1089">
        <f t="shared" si="94"/>
        <v>755864.7890625</v>
      </c>
      <c r="AF102" s="1089"/>
      <c r="AG102" s="1089">
        <f t="shared" si="95"/>
        <v>755864.7890625</v>
      </c>
      <c r="AH102" s="1089"/>
      <c r="AI102" s="1089">
        <f t="shared" si="96"/>
        <v>755864.7890625</v>
      </c>
      <c r="AJ102" s="1089"/>
      <c r="AK102" s="1089">
        <f t="shared" si="97"/>
        <v>755864.7890625</v>
      </c>
      <c r="AL102" s="1089"/>
      <c r="AM102" s="1089">
        <f t="shared" si="98"/>
        <v>755864.7890625</v>
      </c>
      <c r="AN102" s="1089"/>
      <c r="AO102" s="1089">
        <f t="shared" si="99"/>
        <v>755864.7890625</v>
      </c>
      <c r="AP102" s="1089"/>
      <c r="AQ102" s="1000">
        <f t="shared" si="100"/>
        <v>755864.7890625</v>
      </c>
      <c r="AR102" s="1089"/>
      <c r="AS102" s="1000">
        <f t="shared" si="101"/>
        <v>755864.7890625</v>
      </c>
      <c r="AT102" s="825">
        <f t="shared" si="102"/>
        <v>755864.7890625</v>
      </c>
      <c r="AU102" s="825">
        <f t="shared" si="103"/>
        <v>90703.774687500001</v>
      </c>
      <c r="AV102" s="825">
        <f t="shared" si="104"/>
        <v>75586.478906250006</v>
      </c>
      <c r="AW102" s="825">
        <f t="shared" si="105"/>
        <v>922155.04265624995</v>
      </c>
      <c r="AX102" s="826">
        <v>0.15</v>
      </c>
      <c r="AY102" s="825">
        <f t="shared" si="121"/>
        <v>138323.25639843749</v>
      </c>
      <c r="AZ102" s="825">
        <v>10000</v>
      </c>
      <c r="BA102" s="825">
        <f t="shared" si="122"/>
        <v>128323.25639843749</v>
      </c>
      <c r="BB102" s="825">
        <f t="shared" si="71"/>
        <v>31</v>
      </c>
      <c r="BC102" s="824">
        <f t="shared" si="123"/>
        <v>4139.4598838205638</v>
      </c>
      <c r="BD102" s="827">
        <f t="shared" si="106"/>
        <v>0.85</v>
      </c>
      <c r="BE102" s="825">
        <f t="shared" si="124"/>
        <v>783831.7862578124</v>
      </c>
      <c r="BF102" s="1090">
        <f t="shared" si="107"/>
        <v>7045.3016908127875</v>
      </c>
      <c r="BG102" s="1090">
        <f t="shared" si="108"/>
        <v>9100.9516665612191</v>
      </c>
      <c r="BH102" s="1090">
        <f t="shared" si="109"/>
        <v>15520.808821927765</v>
      </c>
      <c r="BK102" s="818"/>
      <c r="BL102" s="907">
        <f t="shared" si="75"/>
        <v>46082</v>
      </c>
      <c r="BM102" s="908">
        <f t="shared" si="110"/>
        <v>29</v>
      </c>
      <c r="BN102" s="909"/>
      <c r="BO102" s="907">
        <f t="shared" si="111"/>
        <v>46147</v>
      </c>
      <c r="BP102" s="914">
        <f t="shared" si="72"/>
        <v>31</v>
      </c>
      <c r="BQ102" s="818"/>
      <c r="BR102" s="818"/>
      <c r="BS102" s="818"/>
      <c r="BT102" s="818"/>
      <c r="BU102" s="818"/>
      <c r="BV102" s="818"/>
      <c r="BW102" s="818"/>
      <c r="BX102" s="818"/>
      <c r="BY102" s="818"/>
      <c r="BZ102" s="818"/>
      <c r="CA102" s="969" t="s">
        <v>403</v>
      </c>
      <c r="CB102" s="969" t="s">
        <v>403</v>
      </c>
      <c r="CC102" s="832" t="b">
        <f t="shared" si="112"/>
        <v>1</v>
      </c>
      <c r="CD102" s="717" t="s">
        <v>403</v>
      </c>
      <c r="CE102" s="949" t="b">
        <f t="shared" si="113"/>
        <v>1</v>
      </c>
      <c r="CG102" s="842"/>
      <c r="CH102" s="878"/>
      <c r="ED102" s="947"/>
      <c r="EF102" s="947"/>
      <c r="EG102" s="947"/>
      <c r="EH102" s="947"/>
      <c r="EI102" s="947"/>
      <c r="EJ102" s="947"/>
      <c r="EK102" s="947"/>
      <c r="EL102" s="947"/>
      <c r="EW102" s="840"/>
      <c r="EX102" s="938">
        <f t="shared" si="77"/>
        <v>922155.04265624995</v>
      </c>
      <c r="EY102" s="942">
        <f t="shared" si="78"/>
        <v>0.15</v>
      </c>
      <c r="EZ102" s="938">
        <f t="shared" si="79"/>
        <v>138323.25639843749</v>
      </c>
      <c r="FA102" s="938">
        <f t="shared" si="80"/>
        <v>10000</v>
      </c>
      <c r="FB102" s="938">
        <f t="shared" si="81"/>
        <v>128323.25639843749</v>
      </c>
      <c r="FC102" s="813">
        <f t="shared" si="73"/>
        <v>48</v>
      </c>
      <c r="FD102" s="814">
        <f t="shared" si="114"/>
        <v>2673.4011749674478</v>
      </c>
      <c r="FE102" s="942">
        <f t="shared" si="115"/>
        <v>0.85</v>
      </c>
      <c r="FF102" s="938">
        <f t="shared" si="116"/>
        <v>783831.7862578124</v>
      </c>
      <c r="FG102" s="940">
        <f t="shared" si="117"/>
        <v>7045.3016908127875</v>
      </c>
      <c r="FH102" s="940">
        <f t="shared" si="118"/>
        <v>9100.9516665612191</v>
      </c>
      <c r="FI102" s="940">
        <f t="shared" si="119"/>
        <v>15520.808821927765</v>
      </c>
      <c r="FJ102" s="840"/>
      <c r="FK102" s="938">
        <f t="shared" si="126"/>
        <v>-1466.0587088531161</v>
      </c>
      <c r="FN102" s="957"/>
      <c r="FO102" s="957"/>
      <c r="FP102" s="957"/>
      <c r="FU102" s="957"/>
      <c r="FV102" s="957"/>
    </row>
    <row r="103" spans="1:178" s="717" customFormat="1" ht="14.5" hidden="1" x14ac:dyDescent="0.35">
      <c r="A103" s="813">
        <f t="shared" si="120"/>
        <v>92</v>
      </c>
      <c r="B103" s="813"/>
      <c r="C103" s="813" t="s">
        <v>378</v>
      </c>
      <c r="D103" s="813">
        <f t="shared" si="74"/>
        <v>39</v>
      </c>
      <c r="E103" s="813" t="s">
        <v>379</v>
      </c>
      <c r="F103" s="575" t="s">
        <v>565</v>
      </c>
      <c r="G103" s="575" t="s">
        <v>375</v>
      </c>
      <c r="H103" s="575">
        <v>13.5</v>
      </c>
      <c r="I103" s="814">
        <v>52000</v>
      </c>
      <c r="J103" s="815">
        <f t="shared" si="82"/>
        <v>702000</v>
      </c>
      <c r="K103" s="815"/>
      <c r="L103" s="815"/>
      <c r="M103" s="815"/>
      <c r="N103" s="815">
        <f t="shared" si="83"/>
        <v>702000</v>
      </c>
      <c r="O103" s="815">
        <f t="shared" si="84"/>
        <v>17550</v>
      </c>
      <c r="P103" s="815">
        <f t="shared" si="85"/>
        <v>719550</v>
      </c>
      <c r="Q103" s="948">
        <f t="shared" si="86"/>
        <v>1.2500000000000001E-2</v>
      </c>
      <c r="R103" s="815">
        <f t="shared" si="87"/>
        <v>8994.375</v>
      </c>
      <c r="S103" s="955">
        <v>0</v>
      </c>
      <c r="T103" s="955">
        <f t="shared" si="88"/>
        <v>728544.375</v>
      </c>
      <c r="U103" s="955"/>
      <c r="V103" s="955">
        <f t="shared" si="89"/>
        <v>27320.4140625</v>
      </c>
      <c r="W103" s="955">
        <f t="shared" si="90"/>
        <v>755864.7890625</v>
      </c>
      <c r="X103" s="955"/>
      <c r="Y103" s="955">
        <f t="shared" si="91"/>
        <v>755864.7890625</v>
      </c>
      <c r="Z103" s="955"/>
      <c r="AA103" s="955">
        <f t="shared" si="92"/>
        <v>755864.7890625</v>
      </c>
      <c r="AB103" s="955"/>
      <c r="AC103" s="955">
        <f t="shared" si="93"/>
        <v>755864.7890625</v>
      </c>
      <c r="AD103" s="955"/>
      <c r="AE103" s="955">
        <f t="shared" si="94"/>
        <v>755864.7890625</v>
      </c>
      <c r="AF103" s="955"/>
      <c r="AG103" s="955">
        <f t="shared" si="95"/>
        <v>755864.7890625</v>
      </c>
      <c r="AH103" s="955"/>
      <c r="AI103" s="955">
        <f t="shared" si="96"/>
        <v>755864.7890625</v>
      </c>
      <c r="AJ103" s="955"/>
      <c r="AK103" s="955">
        <f t="shared" si="97"/>
        <v>755864.7890625</v>
      </c>
      <c r="AL103" s="955"/>
      <c r="AM103" s="955">
        <f t="shared" si="98"/>
        <v>755864.7890625</v>
      </c>
      <c r="AN103" s="955"/>
      <c r="AO103" s="955">
        <f t="shared" si="99"/>
        <v>755864.7890625</v>
      </c>
      <c r="AP103" s="955"/>
      <c r="AQ103" s="1000">
        <f t="shared" si="100"/>
        <v>755864.7890625</v>
      </c>
      <c r="AR103" s="955"/>
      <c r="AS103" s="1000">
        <f t="shared" si="101"/>
        <v>755864.7890625</v>
      </c>
      <c r="AT103" s="815">
        <f t="shared" si="102"/>
        <v>755864.7890625</v>
      </c>
      <c r="AU103" s="815">
        <f t="shared" si="103"/>
        <v>90703.774687500001</v>
      </c>
      <c r="AV103" s="815">
        <f t="shared" si="104"/>
        <v>75586.478906250006</v>
      </c>
      <c r="AW103" s="815">
        <f t="shared" si="105"/>
        <v>922155.04265624995</v>
      </c>
      <c r="AX103" s="816">
        <v>0.15</v>
      </c>
      <c r="AY103" s="815">
        <f>AW103*AX103</f>
        <v>138323.25639843749</v>
      </c>
      <c r="AZ103" s="815">
        <v>10000</v>
      </c>
      <c r="BA103" s="815">
        <f>AY103-AZ103</f>
        <v>128323.25639843749</v>
      </c>
      <c r="BB103" s="825">
        <f t="shared" si="71"/>
        <v>31</v>
      </c>
      <c r="BC103" s="814">
        <f>(AY103-AZ103)/BB103</f>
        <v>4139.4598838205638</v>
      </c>
      <c r="BD103" s="817">
        <f>100%-AX103</f>
        <v>0.85</v>
      </c>
      <c r="BE103" s="815">
        <f>AW103*BD103</f>
        <v>783831.7862578124</v>
      </c>
      <c r="BF103" s="833">
        <f t="shared" si="107"/>
        <v>7045.3016908127875</v>
      </c>
      <c r="BG103" s="833">
        <f t="shared" si="108"/>
        <v>9100.9516665612191</v>
      </c>
      <c r="BH103" s="833">
        <f t="shared" si="109"/>
        <v>15520.808821927765</v>
      </c>
      <c r="BK103" s="818"/>
      <c r="BL103" s="907">
        <f t="shared" si="75"/>
        <v>46082</v>
      </c>
      <c r="BM103" s="908">
        <f t="shared" si="110"/>
        <v>29</v>
      </c>
      <c r="BN103" s="909"/>
      <c r="BO103" s="907">
        <f t="shared" si="111"/>
        <v>46147</v>
      </c>
      <c r="BP103" s="914">
        <f t="shared" si="72"/>
        <v>31</v>
      </c>
      <c r="BQ103" s="818"/>
      <c r="BR103" s="818"/>
      <c r="BS103" s="818"/>
      <c r="BT103" s="818"/>
      <c r="BU103" s="818"/>
      <c r="BV103" s="818"/>
      <c r="BW103" s="818"/>
      <c r="BX103" s="818"/>
      <c r="BY103" s="818"/>
      <c r="BZ103" s="818"/>
      <c r="CA103" s="969" t="s">
        <v>403</v>
      </c>
      <c r="CB103" s="969" t="s">
        <v>403</v>
      </c>
      <c r="CC103" s="832" t="b">
        <f t="shared" si="112"/>
        <v>1</v>
      </c>
      <c r="CD103" s="717" t="s">
        <v>403</v>
      </c>
      <c r="CE103" s="949" t="b">
        <f t="shared" si="113"/>
        <v>1</v>
      </c>
      <c r="CG103" s="842"/>
      <c r="CH103" s="878"/>
      <c r="ED103" s="947"/>
      <c r="EF103" s="947"/>
      <c r="EG103" s="947"/>
      <c r="EH103" s="947"/>
      <c r="EI103" s="947"/>
      <c r="EJ103" s="947"/>
      <c r="EK103" s="947"/>
      <c r="EL103" s="947"/>
      <c r="EW103" s="840"/>
      <c r="EX103" s="938">
        <f t="shared" si="77"/>
        <v>922155.04265624995</v>
      </c>
      <c r="EY103" s="942">
        <f t="shared" si="78"/>
        <v>0.15</v>
      </c>
      <c r="EZ103" s="938">
        <f t="shared" si="79"/>
        <v>138323.25639843749</v>
      </c>
      <c r="FA103" s="938">
        <f t="shared" si="80"/>
        <v>10000</v>
      </c>
      <c r="FB103" s="938">
        <f t="shared" si="81"/>
        <v>128323.25639843749</v>
      </c>
      <c r="FC103" s="813">
        <f t="shared" si="73"/>
        <v>48</v>
      </c>
      <c r="FD103" s="814">
        <f t="shared" si="114"/>
        <v>2673.4011749674478</v>
      </c>
      <c r="FE103" s="942">
        <f t="shared" si="115"/>
        <v>0.85</v>
      </c>
      <c r="FF103" s="938">
        <f t="shared" si="116"/>
        <v>783831.7862578124</v>
      </c>
      <c r="FG103" s="940">
        <f t="shared" si="117"/>
        <v>7045.3016908127875</v>
      </c>
      <c r="FH103" s="940">
        <f t="shared" si="118"/>
        <v>9100.9516665612191</v>
      </c>
      <c r="FI103" s="940">
        <f t="shared" si="119"/>
        <v>15520.808821927765</v>
      </c>
      <c r="FJ103" s="840"/>
      <c r="FK103" s="938">
        <f t="shared" si="126"/>
        <v>-1466.0587088531161</v>
      </c>
      <c r="FN103" s="957"/>
      <c r="FO103" s="957"/>
      <c r="FP103" s="957"/>
      <c r="FU103" s="957"/>
      <c r="FV103" s="957"/>
    </row>
    <row r="104" spans="1:178" s="717" customFormat="1" ht="14.5" hidden="1" x14ac:dyDescent="0.35">
      <c r="A104" s="813">
        <f t="shared" si="120"/>
        <v>93</v>
      </c>
      <c r="B104" s="813"/>
      <c r="C104" s="813" t="s">
        <v>378</v>
      </c>
      <c r="D104" s="813">
        <f t="shared" si="74"/>
        <v>40</v>
      </c>
      <c r="E104" s="813" t="s">
        <v>379</v>
      </c>
      <c r="F104" s="575" t="s">
        <v>566</v>
      </c>
      <c r="G104" s="575" t="s">
        <v>375</v>
      </c>
      <c r="H104" s="575">
        <v>18.5</v>
      </c>
      <c r="I104" s="814">
        <v>48000</v>
      </c>
      <c r="J104" s="815">
        <f t="shared" si="82"/>
        <v>888000</v>
      </c>
      <c r="K104" s="815"/>
      <c r="L104" s="815"/>
      <c r="M104" s="815"/>
      <c r="N104" s="815">
        <f t="shared" si="83"/>
        <v>888000</v>
      </c>
      <c r="O104" s="815">
        <f t="shared" si="84"/>
        <v>22200</v>
      </c>
      <c r="P104" s="815">
        <f t="shared" si="85"/>
        <v>910200</v>
      </c>
      <c r="Q104" s="948">
        <f t="shared" si="86"/>
        <v>1.2500000000000001E-2</v>
      </c>
      <c r="R104" s="815">
        <f t="shared" si="87"/>
        <v>11377.5</v>
      </c>
      <c r="S104" s="955">
        <v>0</v>
      </c>
      <c r="T104" s="955">
        <f t="shared" si="88"/>
        <v>921577.5</v>
      </c>
      <c r="U104" s="955"/>
      <c r="V104" s="955">
        <f t="shared" si="89"/>
        <v>34559.15625</v>
      </c>
      <c r="W104" s="955">
        <f t="shared" si="90"/>
        <v>956136.65625</v>
      </c>
      <c r="X104" s="955"/>
      <c r="Y104" s="955">
        <f t="shared" si="91"/>
        <v>956136.65625</v>
      </c>
      <c r="Z104" s="955"/>
      <c r="AA104" s="955">
        <f t="shared" si="92"/>
        <v>956136.65625</v>
      </c>
      <c r="AB104" s="955"/>
      <c r="AC104" s="955">
        <f t="shared" si="93"/>
        <v>956136.65625</v>
      </c>
      <c r="AD104" s="955"/>
      <c r="AE104" s="955">
        <f t="shared" si="94"/>
        <v>956136.65625</v>
      </c>
      <c r="AF104" s="955"/>
      <c r="AG104" s="955">
        <f t="shared" si="95"/>
        <v>956136.65625</v>
      </c>
      <c r="AH104" s="955"/>
      <c r="AI104" s="955">
        <f t="shared" si="96"/>
        <v>956136.65625</v>
      </c>
      <c r="AJ104" s="955"/>
      <c r="AK104" s="955">
        <f t="shared" si="97"/>
        <v>956136.65625</v>
      </c>
      <c r="AL104" s="955"/>
      <c r="AM104" s="955">
        <f t="shared" si="98"/>
        <v>956136.65625</v>
      </c>
      <c r="AN104" s="955"/>
      <c r="AO104" s="955">
        <f t="shared" si="99"/>
        <v>956136.65625</v>
      </c>
      <c r="AP104" s="955"/>
      <c r="AQ104" s="1000">
        <f t="shared" si="100"/>
        <v>956136.65625</v>
      </c>
      <c r="AR104" s="955"/>
      <c r="AS104" s="1000">
        <f t="shared" si="101"/>
        <v>956136.65625</v>
      </c>
      <c r="AT104" s="815">
        <f t="shared" si="102"/>
        <v>956136.65625</v>
      </c>
      <c r="AU104" s="815">
        <f t="shared" si="103"/>
        <v>114736.39874999999</v>
      </c>
      <c r="AV104" s="815">
        <f t="shared" si="104"/>
        <v>95613.665625000009</v>
      </c>
      <c r="AW104" s="815">
        <f t="shared" si="105"/>
        <v>1166486.7206249998</v>
      </c>
      <c r="AX104" s="816">
        <v>0.15</v>
      </c>
      <c r="AY104" s="815">
        <f t="shared" ref="AY104:AY113" si="127">AW104*AX104</f>
        <v>174973.00809374996</v>
      </c>
      <c r="AZ104" s="815">
        <v>10000</v>
      </c>
      <c r="BA104" s="815">
        <f t="shared" ref="BA104:BA113" si="128">AY104-AZ104</f>
        <v>164973.00809374996</v>
      </c>
      <c r="BB104" s="825">
        <f t="shared" si="71"/>
        <v>31</v>
      </c>
      <c r="BC104" s="814">
        <f t="shared" ref="BC104:BC113" si="129">(AY104-AZ104)/BB104</f>
        <v>5321.7099385080628</v>
      </c>
      <c r="BD104" s="817">
        <f t="shared" ref="BD104:BD113" si="130">100%-AX104</f>
        <v>0.85</v>
      </c>
      <c r="BE104" s="815">
        <f t="shared" ref="BE104:BE113" si="131">AW104*BD104</f>
        <v>991513.71253124985</v>
      </c>
      <c r="BF104" s="833">
        <f t="shared" si="107"/>
        <v>8912.0055576093382</v>
      </c>
      <c r="BG104" s="833">
        <f t="shared" si="108"/>
        <v>11512.314928641541</v>
      </c>
      <c r="BH104" s="833">
        <f t="shared" si="109"/>
        <v>19633.159877310332</v>
      </c>
      <c r="BK104" s="818"/>
      <c r="BL104" s="907">
        <f t="shared" si="75"/>
        <v>46082</v>
      </c>
      <c r="BM104" s="908">
        <f t="shared" si="110"/>
        <v>29</v>
      </c>
      <c r="BN104" s="909"/>
      <c r="BO104" s="907">
        <f t="shared" si="111"/>
        <v>46147</v>
      </c>
      <c r="BP104" s="914">
        <f t="shared" si="72"/>
        <v>31</v>
      </c>
      <c r="BQ104" s="818"/>
      <c r="BR104" s="818"/>
      <c r="BS104" s="818"/>
      <c r="BT104" s="818"/>
      <c r="BU104" s="818"/>
      <c r="BV104" s="818"/>
      <c r="BW104" s="818"/>
      <c r="BX104" s="818"/>
      <c r="BY104" s="818"/>
      <c r="BZ104" s="818"/>
      <c r="CA104" s="969" t="s">
        <v>403</v>
      </c>
      <c r="CB104" s="969" t="s">
        <v>403</v>
      </c>
      <c r="CC104" s="832" t="b">
        <f t="shared" si="112"/>
        <v>1</v>
      </c>
      <c r="CD104" s="717" t="s">
        <v>403</v>
      </c>
      <c r="CE104" s="949" t="b">
        <f t="shared" si="113"/>
        <v>1</v>
      </c>
      <c r="CG104" s="842"/>
      <c r="CH104" s="878"/>
      <c r="ED104" s="947"/>
      <c r="EF104" s="947"/>
      <c r="EG104" s="947"/>
      <c r="EH104" s="947"/>
      <c r="EI104" s="947"/>
      <c r="EJ104" s="947"/>
      <c r="EK104" s="947"/>
      <c r="EL104" s="947"/>
      <c r="EW104" s="840"/>
      <c r="EX104" s="938">
        <f t="shared" si="77"/>
        <v>1166486.7206249998</v>
      </c>
      <c r="EY104" s="942">
        <f t="shared" si="78"/>
        <v>0.15</v>
      </c>
      <c r="EZ104" s="938">
        <f t="shared" si="79"/>
        <v>174973.00809374996</v>
      </c>
      <c r="FA104" s="938">
        <f t="shared" si="80"/>
        <v>10000</v>
      </c>
      <c r="FB104" s="938">
        <f t="shared" si="81"/>
        <v>164973.00809374996</v>
      </c>
      <c r="FC104" s="813">
        <f t="shared" si="73"/>
        <v>48</v>
      </c>
      <c r="FD104" s="814">
        <f t="shared" si="114"/>
        <v>3436.9376686197907</v>
      </c>
      <c r="FE104" s="942">
        <f t="shared" si="115"/>
        <v>0.85</v>
      </c>
      <c r="FF104" s="938">
        <f t="shared" si="116"/>
        <v>991513.71253124985</v>
      </c>
      <c r="FG104" s="940">
        <f t="shared" si="117"/>
        <v>8912.0055576093382</v>
      </c>
      <c r="FH104" s="940">
        <f t="shared" si="118"/>
        <v>11512.314928641541</v>
      </c>
      <c r="FI104" s="940">
        <f t="shared" si="119"/>
        <v>19633.159877310332</v>
      </c>
      <c r="FJ104" s="840"/>
      <c r="FK104" s="938">
        <f t="shared" si="126"/>
        <v>-1884.7722698882721</v>
      </c>
      <c r="FN104" s="957"/>
      <c r="FO104" s="957"/>
      <c r="FP104" s="957"/>
      <c r="FU104" s="957"/>
      <c r="FV104" s="957"/>
    </row>
    <row r="105" spans="1:178" s="717" customFormat="1" ht="14.5" hidden="1" x14ac:dyDescent="0.35">
      <c r="A105" s="813">
        <f t="shared" si="120"/>
        <v>94</v>
      </c>
      <c r="B105" s="813"/>
      <c r="C105" s="813" t="s">
        <v>378</v>
      </c>
      <c r="D105" s="813">
        <f t="shared" si="74"/>
        <v>41</v>
      </c>
      <c r="E105" s="813" t="s">
        <v>379</v>
      </c>
      <c r="F105" s="575" t="s">
        <v>567</v>
      </c>
      <c r="G105" s="575" t="s">
        <v>375</v>
      </c>
      <c r="H105" s="575">
        <v>13.5</v>
      </c>
      <c r="I105" s="814">
        <v>52000</v>
      </c>
      <c r="J105" s="815">
        <f t="shared" si="82"/>
        <v>702000</v>
      </c>
      <c r="K105" s="815"/>
      <c r="L105" s="815"/>
      <c r="M105" s="815"/>
      <c r="N105" s="815">
        <f t="shared" si="83"/>
        <v>702000</v>
      </c>
      <c r="O105" s="815">
        <f t="shared" si="84"/>
        <v>17550</v>
      </c>
      <c r="P105" s="815">
        <f t="shared" si="85"/>
        <v>719550</v>
      </c>
      <c r="Q105" s="948">
        <f t="shared" si="86"/>
        <v>1.2500000000000001E-2</v>
      </c>
      <c r="R105" s="815">
        <f t="shared" si="87"/>
        <v>8994.375</v>
      </c>
      <c r="S105" s="955" t="s">
        <v>450</v>
      </c>
      <c r="T105" s="955">
        <f t="shared" si="88"/>
        <v>728544.375</v>
      </c>
      <c r="U105" s="955"/>
      <c r="V105" s="955">
        <f t="shared" si="89"/>
        <v>27320.4140625</v>
      </c>
      <c r="W105" s="955">
        <f t="shared" si="90"/>
        <v>755864.7890625</v>
      </c>
      <c r="X105" s="955"/>
      <c r="Y105" s="955">
        <f t="shared" si="91"/>
        <v>755864.7890625</v>
      </c>
      <c r="Z105" s="955"/>
      <c r="AA105" s="955">
        <f t="shared" si="92"/>
        <v>755864.7890625</v>
      </c>
      <c r="AB105" s="955"/>
      <c r="AC105" s="955">
        <f t="shared" si="93"/>
        <v>755864.7890625</v>
      </c>
      <c r="AD105" s="955"/>
      <c r="AE105" s="955">
        <f t="shared" si="94"/>
        <v>755864.7890625</v>
      </c>
      <c r="AF105" s="955"/>
      <c r="AG105" s="955">
        <f t="shared" si="95"/>
        <v>755864.7890625</v>
      </c>
      <c r="AH105" s="955"/>
      <c r="AI105" s="955">
        <f t="shared" si="96"/>
        <v>755864.7890625</v>
      </c>
      <c r="AJ105" s="955"/>
      <c r="AK105" s="955">
        <f t="shared" si="97"/>
        <v>755864.7890625</v>
      </c>
      <c r="AL105" s="955"/>
      <c r="AM105" s="955">
        <f t="shared" si="98"/>
        <v>755864.7890625</v>
      </c>
      <c r="AN105" s="955"/>
      <c r="AO105" s="955">
        <f t="shared" si="99"/>
        <v>755864.7890625</v>
      </c>
      <c r="AP105" s="955"/>
      <c r="AQ105" s="1000">
        <f t="shared" si="100"/>
        <v>755864.7890625</v>
      </c>
      <c r="AR105" s="955"/>
      <c r="AS105" s="1000">
        <f t="shared" si="101"/>
        <v>755864.7890625</v>
      </c>
      <c r="AT105" s="815">
        <f t="shared" si="102"/>
        <v>755864.7890625</v>
      </c>
      <c r="AU105" s="815">
        <f t="shared" si="103"/>
        <v>90703.774687500001</v>
      </c>
      <c r="AV105" s="815">
        <f t="shared" si="104"/>
        <v>75586.478906250006</v>
      </c>
      <c r="AW105" s="815">
        <f t="shared" si="105"/>
        <v>922155.04265624995</v>
      </c>
      <c r="AX105" s="816">
        <v>0.15</v>
      </c>
      <c r="AY105" s="815">
        <f t="shared" si="127"/>
        <v>138323.25639843749</v>
      </c>
      <c r="AZ105" s="815">
        <v>10000</v>
      </c>
      <c r="BA105" s="815">
        <f t="shared" si="128"/>
        <v>128323.25639843749</v>
      </c>
      <c r="BB105" s="825">
        <f t="shared" si="71"/>
        <v>31</v>
      </c>
      <c r="BC105" s="814">
        <f t="shared" si="129"/>
        <v>4139.4598838205638</v>
      </c>
      <c r="BD105" s="817">
        <f t="shared" si="130"/>
        <v>0.85</v>
      </c>
      <c r="BE105" s="815">
        <f t="shared" si="131"/>
        <v>783831.7862578124</v>
      </c>
      <c r="BF105" s="833">
        <f t="shared" si="107"/>
        <v>7045.3016908127875</v>
      </c>
      <c r="BG105" s="833">
        <f t="shared" si="108"/>
        <v>9100.9516665612191</v>
      </c>
      <c r="BH105" s="833">
        <f t="shared" si="109"/>
        <v>15520.808821927765</v>
      </c>
      <c r="BK105" s="818"/>
      <c r="BL105" s="907">
        <f t="shared" si="75"/>
        <v>46082</v>
      </c>
      <c r="BM105" s="908">
        <f t="shared" si="110"/>
        <v>29</v>
      </c>
      <c r="BN105" s="909"/>
      <c r="BO105" s="907">
        <f t="shared" si="111"/>
        <v>46147</v>
      </c>
      <c r="BP105" s="914">
        <f t="shared" si="72"/>
        <v>31</v>
      </c>
      <c r="BQ105" s="818"/>
      <c r="BR105" s="818"/>
      <c r="BS105" s="818"/>
      <c r="BT105" s="818"/>
      <c r="BU105" s="818"/>
      <c r="BV105" s="818"/>
      <c r="BW105" s="818"/>
      <c r="BX105" s="818"/>
      <c r="BY105" s="818"/>
      <c r="BZ105" s="818"/>
      <c r="CA105" s="969" t="s">
        <v>262</v>
      </c>
      <c r="CB105" s="812" t="s">
        <v>262</v>
      </c>
      <c r="CC105" s="832" t="b">
        <f t="shared" si="112"/>
        <v>1</v>
      </c>
      <c r="CD105" s="717" t="s">
        <v>262</v>
      </c>
      <c r="CE105" s="949" t="b">
        <f t="shared" si="113"/>
        <v>1</v>
      </c>
      <c r="CG105" s="842"/>
      <c r="CH105" s="878"/>
      <c r="ED105" s="947"/>
      <c r="EF105" s="947"/>
      <c r="EG105" s="947"/>
      <c r="EH105" s="947"/>
      <c r="EI105" s="947"/>
      <c r="EJ105" s="947"/>
      <c r="EK105" s="947"/>
      <c r="EL105" s="947"/>
      <c r="EW105" s="840"/>
      <c r="EX105" s="938">
        <f t="shared" si="77"/>
        <v>922155.04265624995</v>
      </c>
      <c r="EY105" s="942">
        <f t="shared" si="78"/>
        <v>0.15</v>
      </c>
      <c r="EZ105" s="938">
        <f t="shared" si="79"/>
        <v>138323.25639843749</v>
      </c>
      <c r="FA105" s="938">
        <f t="shared" si="80"/>
        <v>10000</v>
      </c>
      <c r="FB105" s="938">
        <f t="shared" si="81"/>
        <v>128323.25639843749</v>
      </c>
      <c r="FC105" s="813">
        <f t="shared" si="73"/>
        <v>48</v>
      </c>
      <c r="FD105" s="814">
        <f t="shared" si="114"/>
        <v>2673.4011749674478</v>
      </c>
      <c r="FE105" s="942">
        <f t="shared" si="115"/>
        <v>0.85</v>
      </c>
      <c r="FF105" s="938">
        <f t="shared" si="116"/>
        <v>783831.7862578124</v>
      </c>
      <c r="FG105" s="940">
        <f t="shared" si="117"/>
        <v>7045.3016908127875</v>
      </c>
      <c r="FH105" s="940">
        <f t="shared" si="118"/>
        <v>9100.9516665612191</v>
      </c>
      <c r="FI105" s="940">
        <f t="shared" si="119"/>
        <v>15520.808821927765</v>
      </c>
      <c r="FJ105" s="840"/>
      <c r="FK105" s="938">
        <f t="shared" si="126"/>
        <v>-1466.0587088531161</v>
      </c>
      <c r="FN105" s="957"/>
      <c r="FO105" s="957"/>
      <c r="FP105" s="957"/>
      <c r="FU105" s="957"/>
      <c r="FV105" s="957"/>
    </row>
    <row r="106" spans="1:178" s="717" customFormat="1" ht="14.5" hidden="1" x14ac:dyDescent="0.35">
      <c r="A106" s="813">
        <f t="shared" si="120"/>
        <v>95</v>
      </c>
      <c r="B106" s="813"/>
      <c r="C106" s="813" t="s">
        <v>378</v>
      </c>
      <c r="D106" s="813">
        <f t="shared" si="74"/>
        <v>42</v>
      </c>
      <c r="E106" s="813" t="s">
        <v>379</v>
      </c>
      <c r="F106" s="575" t="s">
        <v>568</v>
      </c>
      <c r="G106" s="575" t="s">
        <v>375</v>
      </c>
      <c r="H106" s="575">
        <v>13.5</v>
      </c>
      <c r="I106" s="814">
        <v>52000</v>
      </c>
      <c r="J106" s="815">
        <f t="shared" si="82"/>
        <v>702000</v>
      </c>
      <c r="K106" s="815"/>
      <c r="L106" s="815"/>
      <c r="M106" s="815"/>
      <c r="N106" s="815">
        <f t="shared" si="83"/>
        <v>702000</v>
      </c>
      <c r="O106" s="815">
        <f t="shared" si="84"/>
        <v>17550</v>
      </c>
      <c r="P106" s="815">
        <f t="shared" si="85"/>
        <v>719550</v>
      </c>
      <c r="Q106" s="948">
        <f t="shared" si="86"/>
        <v>1.2500000000000001E-2</v>
      </c>
      <c r="R106" s="815">
        <f t="shared" si="87"/>
        <v>8994.375</v>
      </c>
      <c r="S106" s="955" t="s">
        <v>450</v>
      </c>
      <c r="T106" s="955">
        <f t="shared" si="88"/>
        <v>728544.375</v>
      </c>
      <c r="U106" s="955"/>
      <c r="V106" s="955">
        <f t="shared" si="89"/>
        <v>27320.4140625</v>
      </c>
      <c r="W106" s="955">
        <f t="shared" si="90"/>
        <v>755864.7890625</v>
      </c>
      <c r="X106" s="955"/>
      <c r="Y106" s="955">
        <f t="shared" si="91"/>
        <v>755864.7890625</v>
      </c>
      <c r="Z106" s="955"/>
      <c r="AA106" s="955">
        <f t="shared" si="92"/>
        <v>755864.7890625</v>
      </c>
      <c r="AB106" s="955"/>
      <c r="AC106" s="955">
        <f t="shared" si="93"/>
        <v>755864.7890625</v>
      </c>
      <c r="AD106" s="955"/>
      <c r="AE106" s="955">
        <f t="shared" si="94"/>
        <v>755864.7890625</v>
      </c>
      <c r="AF106" s="955"/>
      <c r="AG106" s="955">
        <f t="shared" si="95"/>
        <v>755864.7890625</v>
      </c>
      <c r="AH106" s="955"/>
      <c r="AI106" s="955">
        <f t="shared" si="96"/>
        <v>755864.7890625</v>
      </c>
      <c r="AJ106" s="955"/>
      <c r="AK106" s="955">
        <f t="shared" si="97"/>
        <v>755864.7890625</v>
      </c>
      <c r="AL106" s="955"/>
      <c r="AM106" s="955">
        <f t="shared" si="98"/>
        <v>755864.7890625</v>
      </c>
      <c r="AN106" s="955"/>
      <c r="AO106" s="955">
        <f t="shared" si="99"/>
        <v>755864.7890625</v>
      </c>
      <c r="AP106" s="955"/>
      <c r="AQ106" s="1000">
        <f t="shared" si="100"/>
        <v>755864.7890625</v>
      </c>
      <c r="AR106" s="955"/>
      <c r="AS106" s="1000">
        <f t="shared" si="101"/>
        <v>755864.7890625</v>
      </c>
      <c r="AT106" s="815">
        <f t="shared" si="102"/>
        <v>755864.7890625</v>
      </c>
      <c r="AU106" s="815">
        <f t="shared" si="103"/>
        <v>90703.774687500001</v>
      </c>
      <c r="AV106" s="815">
        <f t="shared" si="104"/>
        <v>75586.478906250006</v>
      </c>
      <c r="AW106" s="815">
        <f t="shared" si="105"/>
        <v>922155.04265624995</v>
      </c>
      <c r="AX106" s="816">
        <v>0.15</v>
      </c>
      <c r="AY106" s="815">
        <f t="shared" si="127"/>
        <v>138323.25639843749</v>
      </c>
      <c r="AZ106" s="815">
        <v>10000</v>
      </c>
      <c r="BA106" s="815">
        <f t="shared" si="128"/>
        <v>128323.25639843749</v>
      </c>
      <c r="BB106" s="825">
        <f t="shared" si="71"/>
        <v>31</v>
      </c>
      <c r="BC106" s="814">
        <f t="shared" si="129"/>
        <v>4139.4598838205638</v>
      </c>
      <c r="BD106" s="817">
        <f t="shared" si="130"/>
        <v>0.85</v>
      </c>
      <c r="BE106" s="815">
        <f t="shared" si="131"/>
        <v>783831.7862578124</v>
      </c>
      <c r="BF106" s="833">
        <f t="shared" si="107"/>
        <v>7045.3016908127875</v>
      </c>
      <c r="BG106" s="833">
        <f t="shared" si="108"/>
        <v>9100.9516665612191</v>
      </c>
      <c r="BH106" s="833">
        <f t="shared" si="109"/>
        <v>15520.808821927765</v>
      </c>
      <c r="BK106" s="818"/>
      <c r="BL106" s="907">
        <f t="shared" si="75"/>
        <v>46082</v>
      </c>
      <c r="BM106" s="908">
        <f t="shared" si="110"/>
        <v>29</v>
      </c>
      <c r="BN106" s="909"/>
      <c r="BO106" s="907">
        <f t="shared" si="111"/>
        <v>46147</v>
      </c>
      <c r="BP106" s="914">
        <f t="shared" si="72"/>
        <v>31</v>
      </c>
      <c r="BQ106" s="818"/>
      <c r="BR106" s="818"/>
      <c r="BS106" s="818"/>
      <c r="BT106" s="818"/>
      <c r="BU106" s="818"/>
      <c r="BV106" s="818"/>
      <c r="BW106" s="818"/>
      <c r="BX106" s="818"/>
      <c r="BY106" s="818"/>
      <c r="BZ106" s="818"/>
      <c r="CA106" s="969" t="s">
        <v>262</v>
      </c>
      <c r="CB106" s="812" t="s">
        <v>262</v>
      </c>
      <c r="CC106" s="832" t="b">
        <f t="shared" si="112"/>
        <v>1</v>
      </c>
      <c r="CD106" s="717" t="s">
        <v>262</v>
      </c>
      <c r="CE106" s="949" t="b">
        <f t="shared" si="113"/>
        <v>1</v>
      </c>
      <c r="CG106" s="842"/>
      <c r="CH106" s="878"/>
      <c r="ED106" s="947"/>
      <c r="EF106" s="947"/>
      <c r="EG106" s="947"/>
      <c r="EH106" s="947"/>
      <c r="EI106" s="947"/>
      <c r="EJ106" s="947"/>
      <c r="EK106" s="947"/>
      <c r="EL106" s="947"/>
      <c r="EW106" s="840"/>
      <c r="EX106" s="938">
        <f t="shared" si="77"/>
        <v>922155.04265624995</v>
      </c>
      <c r="EY106" s="942">
        <f t="shared" si="78"/>
        <v>0.15</v>
      </c>
      <c r="EZ106" s="938">
        <f t="shared" si="79"/>
        <v>138323.25639843749</v>
      </c>
      <c r="FA106" s="938">
        <f t="shared" si="80"/>
        <v>10000</v>
      </c>
      <c r="FB106" s="938">
        <f t="shared" si="81"/>
        <v>128323.25639843749</v>
      </c>
      <c r="FC106" s="813">
        <f t="shared" si="73"/>
        <v>48</v>
      </c>
      <c r="FD106" s="814">
        <f t="shared" si="114"/>
        <v>2673.4011749674478</v>
      </c>
      <c r="FE106" s="942">
        <f t="shared" si="115"/>
        <v>0.85</v>
      </c>
      <c r="FF106" s="938">
        <f t="shared" si="116"/>
        <v>783831.7862578124</v>
      </c>
      <c r="FG106" s="940">
        <f t="shared" si="117"/>
        <v>7045.3016908127875</v>
      </c>
      <c r="FH106" s="940">
        <f t="shared" si="118"/>
        <v>9100.9516665612191</v>
      </c>
      <c r="FI106" s="940">
        <f t="shared" si="119"/>
        <v>15520.808821927765</v>
      </c>
      <c r="FJ106" s="840"/>
      <c r="FK106" s="938">
        <f t="shared" si="126"/>
        <v>-1466.0587088531161</v>
      </c>
      <c r="FN106" s="957"/>
      <c r="FO106" s="957"/>
      <c r="FP106" s="957"/>
      <c r="FU106" s="957"/>
      <c r="FV106" s="957"/>
    </row>
    <row r="107" spans="1:178" s="717" customFormat="1" ht="14.5" hidden="1" x14ac:dyDescent="0.35">
      <c r="A107" s="813">
        <f t="shared" si="120"/>
        <v>96</v>
      </c>
      <c r="B107" s="813"/>
      <c r="C107" s="813" t="s">
        <v>378</v>
      </c>
      <c r="D107" s="813">
        <f t="shared" si="74"/>
        <v>43</v>
      </c>
      <c r="E107" s="813" t="s">
        <v>379</v>
      </c>
      <c r="F107" s="575" t="s">
        <v>569</v>
      </c>
      <c r="G107" s="575" t="s">
        <v>375</v>
      </c>
      <c r="H107" s="889">
        <v>12.5</v>
      </c>
      <c r="I107" s="814">
        <v>52000</v>
      </c>
      <c r="J107" s="815">
        <f t="shared" si="82"/>
        <v>650000</v>
      </c>
      <c r="K107" s="815"/>
      <c r="L107" s="815"/>
      <c r="M107" s="815"/>
      <c r="N107" s="815">
        <f t="shared" si="83"/>
        <v>650000</v>
      </c>
      <c r="O107" s="815">
        <f t="shared" si="84"/>
        <v>16250</v>
      </c>
      <c r="P107" s="815">
        <f t="shared" si="85"/>
        <v>666250</v>
      </c>
      <c r="Q107" s="948">
        <f t="shared" si="86"/>
        <v>1.2500000000000001E-2</v>
      </c>
      <c r="R107" s="815">
        <f t="shared" si="87"/>
        <v>8328.125</v>
      </c>
      <c r="S107" s="955">
        <v>0</v>
      </c>
      <c r="T107" s="955">
        <f t="shared" si="88"/>
        <v>674578.125</v>
      </c>
      <c r="U107" s="955"/>
      <c r="V107" s="955">
        <f t="shared" si="89"/>
        <v>25296.6796875</v>
      </c>
      <c r="W107" s="955">
        <f t="shared" si="90"/>
        <v>699874.8046875</v>
      </c>
      <c r="X107" s="955"/>
      <c r="Y107" s="955">
        <f t="shared" si="91"/>
        <v>699874.8046875</v>
      </c>
      <c r="Z107" s="955"/>
      <c r="AA107" s="955">
        <f t="shared" si="92"/>
        <v>699874.8046875</v>
      </c>
      <c r="AB107" s="955"/>
      <c r="AC107" s="955">
        <f t="shared" si="93"/>
        <v>699874.8046875</v>
      </c>
      <c r="AD107" s="955"/>
      <c r="AE107" s="955">
        <f t="shared" si="94"/>
        <v>699874.8046875</v>
      </c>
      <c r="AF107" s="955"/>
      <c r="AG107" s="955">
        <f t="shared" si="95"/>
        <v>699874.8046875</v>
      </c>
      <c r="AH107" s="955"/>
      <c r="AI107" s="955">
        <f t="shared" si="96"/>
        <v>699874.8046875</v>
      </c>
      <c r="AJ107" s="955"/>
      <c r="AK107" s="955">
        <f t="shared" si="97"/>
        <v>699874.8046875</v>
      </c>
      <c r="AL107" s="955"/>
      <c r="AM107" s="955">
        <f t="shared" si="98"/>
        <v>699874.8046875</v>
      </c>
      <c r="AN107" s="955"/>
      <c r="AO107" s="955">
        <f t="shared" si="99"/>
        <v>699874.8046875</v>
      </c>
      <c r="AP107" s="955"/>
      <c r="AQ107" s="1000">
        <f t="shared" si="100"/>
        <v>699874.8046875</v>
      </c>
      <c r="AR107" s="955"/>
      <c r="AS107" s="1000">
        <f t="shared" si="101"/>
        <v>699874.8046875</v>
      </c>
      <c r="AT107" s="815">
        <f t="shared" si="102"/>
        <v>699874.8046875</v>
      </c>
      <c r="AU107" s="815">
        <f t="shared" si="103"/>
        <v>83984.9765625</v>
      </c>
      <c r="AV107" s="815">
        <f t="shared" si="104"/>
        <v>69987.48046875</v>
      </c>
      <c r="AW107" s="815">
        <f t="shared" si="105"/>
        <v>853847.26171875</v>
      </c>
      <c r="AX107" s="816">
        <v>0.15</v>
      </c>
      <c r="AY107" s="815">
        <f t="shared" si="127"/>
        <v>128077.08925781249</v>
      </c>
      <c r="AZ107" s="815">
        <v>10000</v>
      </c>
      <c r="BA107" s="815">
        <f t="shared" si="128"/>
        <v>118077.08925781249</v>
      </c>
      <c r="BB107" s="825">
        <f t="shared" si="71"/>
        <v>31</v>
      </c>
      <c r="BC107" s="814">
        <f t="shared" si="129"/>
        <v>3808.9383631552419</v>
      </c>
      <c r="BD107" s="817">
        <f t="shared" si="130"/>
        <v>0.85</v>
      </c>
      <c r="BE107" s="815">
        <f t="shared" si="131"/>
        <v>725770.17246093752</v>
      </c>
      <c r="BF107" s="833">
        <f t="shared" si="107"/>
        <v>6523.427491493323</v>
      </c>
      <c r="BG107" s="833">
        <f t="shared" si="108"/>
        <v>8426.8070986677958</v>
      </c>
      <c r="BH107" s="833">
        <f t="shared" si="109"/>
        <v>14371.119279562748</v>
      </c>
      <c r="BK107" s="818"/>
      <c r="BL107" s="907">
        <f t="shared" si="75"/>
        <v>46082</v>
      </c>
      <c r="BM107" s="908">
        <f t="shared" si="110"/>
        <v>29</v>
      </c>
      <c r="BN107" s="909"/>
      <c r="BO107" s="907">
        <f t="shared" si="111"/>
        <v>46147</v>
      </c>
      <c r="BP107" s="914">
        <f t="shared" si="72"/>
        <v>31</v>
      </c>
      <c r="BQ107" s="818"/>
      <c r="BR107" s="818"/>
      <c r="BS107" s="818"/>
      <c r="BT107" s="818"/>
      <c r="BU107" s="818"/>
      <c r="BV107" s="818"/>
      <c r="BW107" s="818"/>
      <c r="BX107" s="818"/>
      <c r="BY107" s="818"/>
      <c r="BZ107" s="818"/>
      <c r="CA107" s="969" t="s">
        <v>262</v>
      </c>
      <c r="CB107" s="812" t="s">
        <v>262</v>
      </c>
      <c r="CC107" s="832" t="b">
        <f t="shared" si="112"/>
        <v>1</v>
      </c>
      <c r="CD107" s="717" t="s">
        <v>262</v>
      </c>
      <c r="CE107" s="949" t="b">
        <f t="shared" si="113"/>
        <v>1</v>
      </c>
      <c r="CG107" s="842"/>
      <c r="CH107" s="878"/>
      <c r="ED107" s="947"/>
      <c r="EF107" s="947"/>
      <c r="EG107" s="947"/>
      <c r="EH107" s="947"/>
      <c r="EI107" s="947"/>
      <c r="EJ107" s="947"/>
      <c r="EK107" s="947"/>
      <c r="EL107" s="947"/>
      <c r="EW107" s="840"/>
      <c r="EX107" s="938">
        <f t="shared" si="77"/>
        <v>853847.26171875</v>
      </c>
      <c r="EY107" s="942">
        <f t="shared" si="78"/>
        <v>0.15</v>
      </c>
      <c r="EZ107" s="938">
        <f t="shared" si="79"/>
        <v>128077.08925781249</v>
      </c>
      <c r="FA107" s="938">
        <f t="shared" si="80"/>
        <v>10000</v>
      </c>
      <c r="FB107" s="938">
        <f t="shared" si="81"/>
        <v>118077.08925781249</v>
      </c>
      <c r="FC107" s="813">
        <f t="shared" si="73"/>
        <v>48</v>
      </c>
      <c r="FD107" s="814">
        <f t="shared" si="114"/>
        <v>2459.9393595377601</v>
      </c>
      <c r="FE107" s="942">
        <f t="shared" si="115"/>
        <v>0.85</v>
      </c>
      <c r="FF107" s="938">
        <f t="shared" si="116"/>
        <v>725770.17246093752</v>
      </c>
      <c r="FG107" s="940">
        <f t="shared" si="117"/>
        <v>6523.427491493323</v>
      </c>
      <c r="FH107" s="940">
        <f t="shared" si="118"/>
        <v>8426.8070986677958</v>
      </c>
      <c r="FI107" s="940">
        <f t="shared" si="119"/>
        <v>14371.119279562748</v>
      </c>
      <c r="FJ107" s="840"/>
      <c r="FK107" s="938">
        <f t="shared" si="126"/>
        <v>-1348.9990036174818</v>
      </c>
      <c r="FN107" s="957"/>
      <c r="FO107" s="957"/>
      <c r="FP107" s="957"/>
      <c r="FU107" s="957"/>
      <c r="FV107" s="957"/>
    </row>
    <row r="108" spans="1:178" s="717" customFormat="1" ht="14.5" hidden="1" x14ac:dyDescent="0.35">
      <c r="A108" s="813">
        <f t="shared" si="120"/>
        <v>97</v>
      </c>
      <c r="B108" s="813"/>
      <c r="C108" s="813" t="s">
        <v>378</v>
      </c>
      <c r="D108" s="813">
        <f t="shared" si="74"/>
        <v>44</v>
      </c>
      <c r="E108" s="813" t="s">
        <v>379</v>
      </c>
      <c r="F108" s="575" t="s">
        <v>570</v>
      </c>
      <c r="G108" s="575" t="s">
        <v>375</v>
      </c>
      <c r="H108" s="575">
        <v>13.5</v>
      </c>
      <c r="I108" s="814">
        <v>52000</v>
      </c>
      <c r="J108" s="815">
        <f t="shared" si="82"/>
        <v>702000</v>
      </c>
      <c r="K108" s="815"/>
      <c r="L108" s="815"/>
      <c r="M108" s="815"/>
      <c r="N108" s="815">
        <f t="shared" si="83"/>
        <v>702000</v>
      </c>
      <c r="O108" s="815">
        <f t="shared" si="84"/>
        <v>17550</v>
      </c>
      <c r="P108" s="815">
        <f t="shared" si="85"/>
        <v>719550</v>
      </c>
      <c r="Q108" s="948">
        <f t="shared" si="86"/>
        <v>1.2500000000000001E-2</v>
      </c>
      <c r="R108" s="815">
        <f t="shared" si="87"/>
        <v>8994.375</v>
      </c>
      <c r="S108" s="955" t="s">
        <v>450</v>
      </c>
      <c r="T108" s="955">
        <f>P108+R108+S108</f>
        <v>728544.375</v>
      </c>
      <c r="U108" s="955"/>
      <c r="V108" s="955">
        <f>T108*$V$10</f>
        <v>27320.4140625</v>
      </c>
      <c r="W108" s="955">
        <f>T108+U108+V108</f>
        <v>755864.7890625</v>
      </c>
      <c r="X108" s="955"/>
      <c r="Y108" s="955">
        <f t="shared" si="91"/>
        <v>755864.7890625</v>
      </c>
      <c r="Z108" s="955"/>
      <c r="AA108" s="955">
        <f t="shared" si="92"/>
        <v>755864.7890625</v>
      </c>
      <c r="AB108" s="955"/>
      <c r="AC108" s="955">
        <f t="shared" si="93"/>
        <v>755864.7890625</v>
      </c>
      <c r="AD108" s="955"/>
      <c r="AE108" s="955">
        <f t="shared" si="94"/>
        <v>755864.7890625</v>
      </c>
      <c r="AF108" s="955"/>
      <c r="AG108" s="955">
        <f t="shared" si="95"/>
        <v>755864.7890625</v>
      </c>
      <c r="AH108" s="955"/>
      <c r="AI108" s="955">
        <f t="shared" si="96"/>
        <v>755864.7890625</v>
      </c>
      <c r="AJ108" s="955"/>
      <c r="AK108" s="955">
        <f t="shared" si="97"/>
        <v>755864.7890625</v>
      </c>
      <c r="AL108" s="955"/>
      <c r="AM108" s="955">
        <f t="shared" si="98"/>
        <v>755864.7890625</v>
      </c>
      <c r="AN108" s="955"/>
      <c r="AO108" s="955">
        <f t="shared" si="99"/>
        <v>755864.7890625</v>
      </c>
      <c r="AP108" s="955"/>
      <c r="AQ108" s="1000">
        <f t="shared" si="100"/>
        <v>755864.7890625</v>
      </c>
      <c r="AR108" s="955"/>
      <c r="AS108" s="1000">
        <f t="shared" si="101"/>
        <v>755864.7890625</v>
      </c>
      <c r="AT108" s="815">
        <f t="shared" si="102"/>
        <v>755864.7890625</v>
      </c>
      <c r="AU108" s="815">
        <f t="shared" si="103"/>
        <v>90703.774687500001</v>
      </c>
      <c r="AV108" s="815">
        <f t="shared" si="104"/>
        <v>75586.478906250006</v>
      </c>
      <c r="AW108" s="815">
        <f t="shared" si="105"/>
        <v>922155.04265624995</v>
      </c>
      <c r="AX108" s="816">
        <v>0.15</v>
      </c>
      <c r="AY108" s="815">
        <f t="shared" si="127"/>
        <v>138323.25639843749</v>
      </c>
      <c r="AZ108" s="815">
        <v>10000</v>
      </c>
      <c r="BA108" s="815">
        <f t="shared" si="128"/>
        <v>128323.25639843749</v>
      </c>
      <c r="BB108" s="825">
        <f t="shared" si="71"/>
        <v>31</v>
      </c>
      <c r="BC108" s="814">
        <f t="shared" si="129"/>
        <v>4139.4598838205638</v>
      </c>
      <c r="BD108" s="817">
        <f t="shared" si="130"/>
        <v>0.85</v>
      </c>
      <c r="BE108" s="815">
        <f t="shared" si="131"/>
        <v>783831.7862578124</v>
      </c>
      <c r="BF108" s="833">
        <f t="shared" si="107"/>
        <v>7045.3016908127875</v>
      </c>
      <c r="BG108" s="833">
        <f t="shared" si="108"/>
        <v>9100.9516665612191</v>
      </c>
      <c r="BH108" s="833">
        <f t="shared" si="109"/>
        <v>15520.808821927765</v>
      </c>
      <c r="BK108" s="818"/>
      <c r="BL108" s="907">
        <f t="shared" si="75"/>
        <v>46082</v>
      </c>
      <c r="BM108" s="908">
        <f t="shared" si="110"/>
        <v>29</v>
      </c>
      <c r="BN108" s="909"/>
      <c r="BO108" s="907">
        <f t="shared" si="111"/>
        <v>46147</v>
      </c>
      <c r="BP108" s="914">
        <f t="shared" si="72"/>
        <v>31</v>
      </c>
      <c r="BQ108" s="818"/>
      <c r="BR108" s="818"/>
      <c r="BS108" s="818"/>
      <c r="BT108" s="818"/>
      <c r="BU108" s="818"/>
      <c r="BV108" s="818"/>
      <c r="BW108" s="818"/>
      <c r="BX108" s="818"/>
      <c r="BY108" s="818"/>
      <c r="BZ108" s="818"/>
      <c r="CA108" s="969" t="s">
        <v>262</v>
      </c>
      <c r="CB108" s="812" t="s">
        <v>262</v>
      </c>
      <c r="CC108" s="832" t="b">
        <f t="shared" si="112"/>
        <v>1</v>
      </c>
      <c r="CD108" s="717" t="s">
        <v>262</v>
      </c>
      <c r="CE108" s="949" t="b">
        <f t="shared" si="113"/>
        <v>1</v>
      </c>
      <c r="CG108" s="842"/>
      <c r="CH108" s="878"/>
      <c r="ED108" s="947"/>
      <c r="EF108" s="947"/>
      <c r="EG108" s="947"/>
      <c r="EH108" s="947"/>
      <c r="EI108" s="947"/>
      <c r="EJ108" s="947"/>
      <c r="EK108" s="947"/>
      <c r="EL108" s="947"/>
      <c r="EW108" s="840"/>
      <c r="EX108" s="938">
        <f t="shared" ref="EX108:EX113" si="132">AW108</f>
        <v>922155.04265624995</v>
      </c>
      <c r="EY108" s="942">
        <f t="shared" ref="EY108:EY113" si="133">AX108</f>
        <v>0.15</v>
      </c>
      <c r="EZ108" s="938">
        <f t="shared" ref="EZ108:EZ113" si="134">AY108</f>
        <v>138323.25639843749</v>
      </c>
      <c r="FA108" s="938">
        <f t="shared" ref="FA108:FA113" si="135">AZ108</f>
        <v>10000</v>
      </c>
      <c r="FB108" s="938">
        <f t="shared" ref="FB108:FB113" si="136">BA108</f>
        <v>128323.25639843749</v>
      </c>
      <c r="FC108" s="813">
        <f t="shared" si="73"/>
        <v>48</v>
      </c>
      <c r="FD108" s="814">
        <f t="shared" si="114"/>
        <v>2673.4011749674478</v>
      </c>
      <c r="FE108" s="942">
        <f t="shared" si="115"/>
        <v>0.85</v>
      </c>
      <c r="FF108" s="938">
        <f t="shared" si="116"/>
        <v>783831.7862578124</v>
      </c>
      <c r="FG108" s="940">
        <f t="shared" si="117"/>
        <v>7045.3016908127875</v>
      </c>
      <c r="FH108" s="940">
        <f t="shared" si="118"/>
        <v>9100.9516665612191</v>
      </c>
      <c r="FI108" s="940">
        <f t="shared" si="119"/>
        <v>15520.808821927765</v>
      </c>
      <c r="FJ108" s="840"/>
      <c r="FK108" s="938">
        <f t="shared" si="126"/>
        <v>-1466.0587088531161</v>
      </c>
      <c r="FN108" s="957"/>
      <c r="FO108" s="957"/>
      <c r="FP108" s="957"/>
      <c r="FU108" s="957"/>
      <c r="FV108" s="957"/>
    </row>
    <row r="109" spans="1:178" s="717" customFormat="1" ht="14.5" hidden="1" x14ac:dyDescent="0.35">
      <c r="A109" s="813">
        <f t="shared" si="120"/>
        <v>98</v>
      </c>
      <c r="B109" s="813"/>
      <c r="C109" s="813" t="s">
        <v>378</v>
      </c>
      <c r="D109" s="813">
        <f t="shared" si="74"/>
        <v>45</v>
      </c>
      <c r="E109" s="813" t="s">
        <v>379</v>
      </c>
      <c r="F109" s="575" t="s">
        <v>571</v>
      </c>
      <c r="G109" s="575" t="s">
        <v>375</v>
      </c>
      <c r="H109" s="575">
        <v>13.5</v>
      </c>
      <c r="I109" s="814">
        <v>52000</v>
      </c>
      <c r="J109" s="815">
        <f t="shared" si="82"/>
        <v>702000</v>
      </c>
      <c r="K109" s="815"/>
      <c r="L109" s="815"/>
      <c r="M109" s="815"/>
      <c r="N109" s="815">
        <f t="shared" si="83"/>
        <v>702000</v>
      </c>
      <c r="O109" s="815">
        <f t="shared" si="84"/>
        <v>17550</v>
      </c>
      <c r="P109" s="815">
        <f t="shared" si="85"/>
        <v>719550</v>
      </c>
      <c r="Q109" s="948">
        <f t="shared" si="86"/>
        <v>1.2500000000000001E-2</v>
      </c>
      <c r="R109" s="815">
        <f t="shared" si="87"/>
        <v>8994.375</v>
      </c>
      <c r="S109" s="955" t="s">
        <v>450</v>
      </c>
      <c r="T109" s="955">
        <f t="shared" si="88"/>
        <v>728544.375</v>
      </c>
      <c r="U109" s="955"/>
      <c r="V109" s="955">
        <f t="shared" si="89"/>
        <v>27320.4140625</v>
      </c>
      <c r="W109" s="955">
        <f t="shared" si="90"/>
        <v>755864.7890625</v>
      </c>
      <c r="X109" s="955"/>
      <c r="Y109" s="955">
        <f t="shared" si="91"/>
        <v>755864.7890625</v>
      </c>
      <c r="Z109" s="955"/>
      <c r="AA109" s="955">
        <f t="shared" si="92"/>
        <v>755864.7890625</v>
      </c>
      <c r="AB109" s="955"/>
      <c r="AC109" s="955">
        <f t="shared" si="93"/>
        <v>755864.7890625</v>
      </c>
      <c r="AD109" s="955"/>
      <c r="AE109" s="955">
        <f t="shared" si="94"/>
        <v>755864.7890625</v>
      </c>
      <c r="AF109" s="955"/>
      <c r="AG109" s="955">
        <f t="shared" si="95"/>
        <v>755864.7890625</v>
      </c>
      <c r="AH109" s="955"/>
      <c r="AI109" s="955">
        <f t="shared" si="96"/>
        <v>755864.7890625</v>
      </c>
      <c r="AJ109" s="955"/>
      <c r="AK109" s="955">
        <f t="shared" si="97"/>
        <v>755864.7890625</v>
      </c>
      <c r="AL109" s="955"/>
      <c r="AM109" s="955">
        <f t="shared" si="98"/>
        <v>755864.7890625</v>
      </c>
      <c r="AN109" s="955"/>
      <c r="AO109" s="955">
        <f t="shared" si="99"/>
        <v>755864.7890625</v>
      </c>
      <c r="AP109" s="955"/>
      <c r="AQ109" s="1000">
        <f t="shared" si="100"/>
        <v>755864.7890625</v>
      </c>
      <c r="AR109" s="955"/>
      <c r="AS109" s="1000">
        <f t="shared" si="101"/>
        <v>755864.7890625</v>
      </c>
      <c r="AT109" s="815">
        <f t="shared" si="102"/>
        <v>755864.7890625</v>
      </c>
      <c r="AU109" s="815">
        <f t="shared" si="103"/>
        <v>90703.774687500001</v>
      </c>
      <c r="AV109" s="815">
        <f t="shared" si="104"/>
        <v>75586.478906250006</v>
      </c>
      <c r="AW109" s="815">
        <f t="shared" si="105"/>
        <v>922155.04265624995</v>
      </c>
      <c r="AX109" s="816">
        <v>0.15</v>
      </c>
      <c r="AY109" s="815">
        <f t="shared" si="127"/>
        <v>138323.25639843749</v>
      </c>
      <c r="AZ109" s="815">
        <v>10000</v>
      </c>
      <c r="BA109" s="815">
        <f t="shared" si="128"/>
        <v>128323.25639843749</v>
      </c>
      <c r="BB109" s="825">
        <f t="shared" si="71"/>
        <v>31</v>
      </c>
      <c r="BC109" s="814">
        <f t="shared" si="129"/>
        <v>4139.4598838205638</v>
      </c>
      <c r="BD109" s="817">
        <f t="shared" si="130"/>
        <v>0.85</v>
      </c>
      <c r="BE109" s="815">
        <f t="shared" si="131"/>
        <v>783831.7862578124</v>
      </c>
      <c r="BF109" s="833">
        <f t="shared" si="107"/>
        <v>7045.3016908127875</v>
      </c>
      <c r="BG109" s="833">
        <f t="shared" si="108"/>
        <v>9100.9516665612191</v>
      </c>
      <c r="BH109" s="833">
        <f t="shared" si="109"/>
        <v>15520.808821927765</v>
      </c>
      <c r="BK109" s="818"/>
      <c r="BL109" s="907">
        <f t="shared" si="75"/>
        <v>46082</v>
      </c>
      <c r="BM109" s="908">
        <f t="shared" si="110"/>
        <v>29</v>
      </c>
      <c r="BN109" s="909"/>
      <c r="BO109" s="907">
        <f t="shared" si="111"/>
        <v>46147</v>
      </c>
      <c r="BP109" s="914">
        <f t="shared" si="72"/>
        <v>31</v>
      </c>
      <c r="BQ109" s="818"/>
      <c r="BR109" s="818"/>
      <c r="BS109" s="818"/>
      <c r="BT109" s="818"/>
      <c r="BU109" s="818"/>
      <c r="BV109" s="818"/>
      <c r="BW109" s="818"/>
      <c r="BX109" s="818"/>
      <c r="BY109" s="818"/>
      <c r="BZ109" s="818"/>
      <c r="CA109" s="969" t="s">
        <v>328</v>
      </c>
      <c r="CB109" s="812" t="s">
        <v>328</v>
      </c>
      <c r="CC109" s="832" t="b">
        <f t="shared" si="112"/>
        <v>1</v>
      </c>
      <c r="CD109" s="717" t="s">
        <v>328</v>
      </c>
      <c r="CE109" s="949" t="b">
        <f t="shared" si="113"/>
        <v>1</v>
      </c>
      <c r="CG109" s="842"/>
      <c r="CH109" s="878"/>
      <c r="ED109" s="947"/>
      <c r="EF109" s="947"/>
      <c r="EG109" s="947"/>
      <c r="EH109" s="947"/>
      <c r="EI109" s="947"/>
      <c r="EJ109" s="947"/>
      <c r="EK109" s="947"/>
      <c r="EL109" s="947"/>
      <c r="EW109" s="840"/>
      <c r="EX109" s="938">
        <f t="shared" si="132"/>
        <v>922155.04265624995</v>
      </c>
      <c r="EY109" s="942">
        <f t="shared" si="133"/>
        <v>0.15</v>
      </c>
      <c r="EZ109" s="938">
        <f t="shared" si="134"/>
        <v>138323.25639843749</v>
      </c>
      <c r="FA109" s="938">
        <f t="shared" si="135"/>
        <v>10000</v>
      </c>
      <c r="FB109" s="938">
        <f t="shared" si="136"/>
        <v>128323.25639843749</v>
      </c>
      <c r="FC109" s="813">
        <f t="shared" si="73"/>
        <v>48</v>
      </c>
      <c r="FD109" s="814">
        <f t="shared" si="114"/>
        <v>2673.4011749674478</v>
      </c>
      <c r="FE109" s="942">
        <f t="shared" si="115"/>
        <v>0.85</v>
      </c>
      <c r="FF109" s="938">
        <f t="shared" si="116"/>
        <v>783831.7862578124</v>
      </c>
      <c r="FG109" s="940">
        <f t="shared" si="117"/>
        <v>7045.3016908127875</v>
      </c>
      <c r="FH109" s="940">
        <f t="shared" si="118"/>
        <v>9100.9516665612191</v>
      </c>
      <c r="FI109" s="940">
        <f t="shared" si="119"/>
        <v>15520.808821927765</v>
      </c>
      <c r="FJ109" s="840"/>
      <c r="FK109" s="938">
        <f t="shared" si="126"/>
        <v>-1466.0587088531161</v>
      </c>
      <c r="FN109" s="957"/>
      <c r="FO109" s="957"/>
      <c r="FP109" s="957"/>
      <c r="FU109" s="957"/>
      <c r="FV109" s="957"/>
    </row>
    <row r="110" spans="1:178" s="717" customFormat="1" ht="14.5" hidden="1" x14ac:dyDescent="0.35">
      <c r="A110" s="813">
        <f t="shared" si="120"/>
        <v>99</v>
      </c>
      <c r="B110" s="813"/>
      <c r="C110" s="813" t="s">
        <v>378</v>
      </c>
      <c r="D110" s="813">
        <f t="shared" si="74"/>
        <v>46</v>
      </c>
      <c r="E110" s="813" t="s">
        <v>379</v>
      </c>
      <c r="F110" s="575" t="s">
        <v>572</v>
      </c>
      <c r="G110" s="575" t="s">
        <v>375</v>
      </c>
      <c r="H110" s="575">
        <v>13.5</v>
      </c>
      <c r="I110" s="814">
        <v>52000</v>
      </c>
      <c r="J110" s="815">
        <f t="shared" si="82"/>
        <v>702000</v>
      </c>
      <c r="K110" s="815"/>
      <c r="L110" s="815"/>
      <c r="M110" s="815"/>
      <c r="N110" s="815">
        <f t="shared" si="83"/>
        <v>702000</v>
      </c>
      <c r="O110" s="815">
        <f t="shared" si="84"/>
        <v>17550</v>
      </c>
      <c r="P110" s="815">
        <f t="shared" si="85"/>
        <v>719550</v>
      </c>
      <c r="Q110" s="948">
        <f t="shared" si="86"/>
        <v>1.2500000000000001E-2</v>
      </c>
      <c r="R110" s="815">
        <f t="shared" si="87"/>
        <v>8994.375</v>
      </c>
      <c r="S110" s="955" t="s">
        <v>450</v>
      </c>
      <c r="T110" s="955">
        <f t="shared" si="88"/>
        <v>728544.375</v>
      </c>
      <c r="U110" s="955"/>
      <c r="V110" s="955">
        <f t="shared" si="89"/>
        <v>27320.4140625</v>
      </c>
      <c r="W110" s="955">
        <f t="shared" si="90"/>
        <v>755864.7890625</v>
      </c>
      <c r="X110" s="955"/>
      <c r="Y110" s="955">
        <f t="shared" si="91"/>
        <v>755864.7890625</v>
      </c>
      <c r="Z110" s="955"/>
      <c r="AA110" s="955">
        <f t="shared" si="92"/>
        <v>755864.7890625</v>
      </c>
      <c r="AB110" s="955"/>
      <c r="AC110" s="955">
        <f t="shared" si="93"/>
        <v>755864.7890625</v>
      </c>
      <c r="AD110" s="955"/>
      <c r="AE110" s="955">
        <f t="shared" si="94"/>
        <v>755864.7890625</v>
      </c>
      <c r="AF110" s="955"/>
      <c r="AG110" s="955">
        <f t="shared" si="95"/>
        <v>755864.7890625</v>
      </c>
      <c r="AH110" s="955"/>
      <c r="AI110" s="955">
        <f t="shared" si="96"/>
        <v>755864.7890625</v>
      </c>
      <c r="AJ110" s="955"/>
      <c r="AK110" s="955">
        <f t="shared" si="97"/>
        <v>755864.7890625</v>
      </c>
      <c r="AL110" s="955"/>
      <c r="AM110" s="955">
        <f t="shared" si="98"/>
        <v>755864.7890625</v>
      </c>
      <c r="AN110" s="955"/>
      <c r="AO110" s="955">
        <f t="shared" si="99"/>
        <v>755864.7890625</v>
      </c>
      <c r="AP110" s="955"/>
      <c r="AQ110" s="1000">
        <f t="shared" si="100"/>
        <v>755864.7890625</v>
      </c>
      <c r="AR110" s="955"/>
      <c r="AS110" s="1000">
        <f t="shared" si="101"/>
        <v>755864.7890625</v>
      </c>
      <c r="AT110" s="815">
        <f t="shared" si="102"/>
        <v>755864.7890625</v>
      </c>
      <c r="AU110" s="815">
        <f t="shared" si="103"/>
        <v>90703.774687500001</v>
      </c>
      <c r="AV110" s="815">
        <f t="shared" si="104"/>
        <v>75586.478906250006</v>
      </c>
      <c r="AW110" s="815">
        <f t="shared" si="105"/>
        <v>922155.04265624995</v>
      </c>
      <c r="AX110" s="816">
        <v>0.15</v>
      </c>
      <c r="AY110" s="815">
        <f t="shared" si="127"/>
        <v>138323.25639843749</v>
      </c>
      <c r="AZ110" s="815">
        <v>10000</v>
      </c>
      <c r="BA110" s="815">
        <f t="shared" si="128"/>
        <v>128323.25639843749</v>
      </c>
      <c r="BB110" s="825">
        <f t="shared" si="71"/>
        <v>31</v>
      </c>
      <c r="BC110" s="814">
        <f t="shared" si="129"/>
        <v>4139.4598838205638</v>
      </c>
      <c r="BD110" s="817">
        <f t="shared" si="130"/>
        <v>0.85</v>
      </c>
      <c r="BE110" s="815">
        <f t="shared" si="131"/>
        <v>783831.7862578124</v>
      </c>
      <c r="BF110" s="833">
        <f t="shared" si="107"/>
        <v>7045.3016908127875</v>
      </c>
      <c r="BG110" s="833">
        <f t="shared" si="108"/>
        <v>9100.9516665612191</v>
      </c>
      <c r="BH110" s="833">
        <f t="shared" si="109"/>
        <v>15520.808821927765</v>
      </c>
      <c r="BK110" s="818"/>
      <c r="BL110" s="907">
        <f t="shared" si="75"/>
        <v>46082</v>
      </c>
      <c r="BM110" s="908">
        <f t="shared" si="110"/>
        <v>29</v>
      </c>
      <c r="BN110" s="909"/>
      <c r="BO110" s="907">
        <f t="shared" si="111"/>
        <v>46147</v>
      </c>
      <c r="BP110" s="914">
        <f t="shared" si="72"/>
        <v>31</v>
      </c>
      <c r="BQ110" s="818"/>
      <c r="BR110" s="818"/>
      <c r="BS110" s="818"/>
      <c r="BT110" s="818"/>
      <c r="BU110" s="818"/>
      <c r="BV110" s="818"/>
      <c r="BW110" s="818"/>
      <c r="BX110" s="818"/>
      <c r="BY110" s="818"/>
      <c r="BZ110" s="818"/>
      <c r="CA110" s="969" t="s">
        <v>262</v>
      </c>
      <c r="CB110" s="812" t="s">
        <v>262</v>
      </c>
      <c r="CC110" s="832" t="b">
        <f t="shared" si="112"/>
        <v>1</v>
      </c>
      <c r="CD110" s="717" t="s">
        <v>262</v>
      </c>
      <c r="CE110" s="949" t="b">
        <f t="shared" si="113"/>
        <v>1</v>
      </c>
      <c r="CG110" s="842"/>
      <c r="CH110" s="878"/>
      <c r="ED110" s="947"/>
      <c r="EF110" s="947"/>
      <c r="EG110" s="947"/>
      <c r="EH110" s="947"/>
      <c r="EI110" s="947"/>
      <c r="EJ110" s="947"/>
      <c r="EK110" s="947"/>
      <c r="EL110" s="947"/>
      <c r="EW110" s="840"/>
      <c r="EX110" s="938">
        <f t="shared" si="132"/>
        <v>922155.04265624995</v>
      </c>
      <c r="EY110" s="942">
        <f t="shared" si="133"/>
        <v>0.15</v>
      </c>
      <c r="EZ110" s="938">
        <f t="shared" si="134"/>
        <v>138323.25639843749</v>
      </c>
      <c r="FA110" s="938">
        <f t="shared" si="135"/>
        <v>10000</v>
      </c>
      <c r="FB110" s="938">
        <f t="shared" si="136"/>
        <v>128323.25639843749</v>
      </c>
      <c r="FC110" s="813">
        <f t="shared" si="73"/>
        <v>48</v>
      </c>
      <c r="FD110" s="814">
        <f t="shared" si="114"/>
        <v>2673.4011749674478</v>
      </c>
      <c r="FE110" s="942">
        <f t="shared" si="115"/>
        <v>0.85</v>
      </c>
      <c r="FF110" s="938">
        <f t="shared" si="116"/>
        <v>783831.7862578124</v>
      </c>
      <c r="FG110" s="940">
        <f t="shared" si="117"/>
        <v>7045.3016908127875</v>
      </c>
      <c r="FH110" s="940">
        <f t="shared" si="118"/>
        <v>9100.9516665612191</v>
      </c>
      <c r="FI110" s="940">
        <f t="shared" si="119"/>
        <v>15520.808821927765</v>
      </c>
      <c r="FJ110" s="840"/>
      <c r="FK110" s="938">
        <f t="shared" si="126"/>
        <v>-1466.0587088531161</v>
      </c>
      <c r="FN110" s="957"/>
      <c r="FO110" s="957"/>
      <c r="FP110" s="957"/>
      <c r="FU110" s="957"/>
      <c r="FV110" s="957"/>
    </row>
    <row r="111" spans="1:178" s="717" customFormat="1" ht="14.5" hidden="1" x14ac:dyDescent="0.35">
      <c r="A111" s="813">
        <f t="shared" si="120"/>
        <v>100</v>
      </c>
      <c r="B111" s="813"/>
      <c r="C111" s="813" t="s">
        <v>378</v>
      </c>
      <c r="D111" s="813">
        <f t="shared" si="74"/>
        <v>47</v>
      </c>
      <c r="E111" s="813" t="s">
        <v>379</v>
      </c>
      <c r="F111" s="575" t="s">
        <v>573</v>
      </c>
      <c r="G111" s="575" t="s">
        <v>375</v>
      </c>
      <c r="H111" s="575">
        <v>13.5</v>
      </c>
      <c r="I111" s="814">
        <v>52000</v>
      </c>
      <c r="J111" s="815">
        <f t="shared" si="82"/>
        <v>702000</v>
      </c>
      <c r="K111" s="815"/>
      <c r="L111" s="815"/>
      <c r="M111" s="815"/>
      <c r="N111" s="815">
        <f t="shared" si="83"/>
        <v>702000</v>
      </c>
      <c r="O111" s="815">
        <f t="shared" si="84"/>
        <v>17550</v>
      </c>
      <c r="P111" s="815">
        <f t="shared" si="85"/>
        <v>719550</v>
      </c>
      <c r="Q111" s="948">
        <f t="shared" si="86"/>
        <v>1.2500000000000001E-2</v>
      </c>
      <c r="R111" s="815">
        <f t="shared" si="87"/>
        <v>8994.375</v>
      </c>
      <c r="S111" s="955" t="s">
        <v>450</v>
      </c>
      <c r="T111" s="955">
        <f t="shared" si="88"/>
        <v>728544.375</v>
      </c>
      <c r="U111" s="955"/>
      <c r="V111" s="955">
        <f t="shared" si="89"/>
        <v>27320.4140625</v>
      </c>
      <c r="W111" s="955">
        <f t="shared" si="90"/>
        <v>755864.7890625</v>
      </c>
      <c r="X111" s="955"/>
      <c r="Y111" s="955">
        <f t="shared" si="91"/>
        <v>755864.7890625</v>
      </c>
      <c r="Z111" s="955"/>
      <c r="AA111" s="955">
        <f t="shared" si="92"/>
        <v>755864.7890625</v>
      </c>
      <c r="AB111" s="955"/>
      <c r="AC111" s="955">
        <f t="shared" si="93"/>
        <v>755864.7890625</v>
      </c>
      <c r="AD111" s="955"/>
      <c r="AE111" s="955">
        <f t="shared" si="94"/>
        <v>755864.7890625</v>
      </c>
      <c r="AF111" s="955"/>
      <c r="AG111" s="955">
        <f t="shared" si="95"/>
        <v>755864.7890625</v>
      </c>
      <c r="AH111" s="955"/>
      <c r="AI111" s="955">
        <f t="shared" si="96"/>
        <v>755864.7890625</v>
      </c>
      <c r="AJ111" s="955"/>
      <c r="AK111" s="955">
        <f t="shared" si="97"/>
        <v>755864.7890625</v>
      </c>
      <c r="AL111" s="955"/>
      <c r="AM111" s="955">
        <f t="shared" si="98"/>
        <v>755864.7890625</v>
      </c>
      <c r="AN111" s="955"/>
      <c r="AO111" s="955">
        <f t="shared" si="99"/>
        <v>755864.7890625</v>
      </c>
      <c r="AP111" s="955"/>
      <c r="AQ111" s="1000">
        <f t="shared" si="100"/>
        <v>755864.7890625</v>
      </c>
      <c r="AR111" s="955"/>
      <c r="AS111" s="1000">
        <f t="shared" si="101"/>
        <v>755864.7890625</v>
      </c>
      <c r="AT111" s="815">
        <f t="shared" si="102"/>
        <v>755864.7890625</v>
      </c>
      <c r="AU111" s="815">
        <f t="shared" si="103"/>
        <v>90703.774687500001</v>
      </c>
      <c r="AV111" s="815">
        <f t="shared" si="104"/>
        <v>75586.478906250006</v>
      </c>
      <c r="AW111" s="815">
        <f t="shared" si="105"/>
        <v>922155.04265624995</v>
      </c>
      <c r="AX111" s="816">
        <v>0.15</v>
      </c>
      <c r="AY111" s="815">
        <f t="shared" si="127"/>
        <v>138323.25639843749</v>
      </c>
      <c r="AZ111" s="815">
        <v>10000</v>
      </c>
      <c r="BA111" s="815">
        <f t="shared" si="128"/>
        <v>128323.25639843749</v>
      </c>
      <c r="BB111" s="825">
        <f t="shared" si="71"/>
        <v>31</v>
      </c>
      <c r="BC111" s="814">
        <f t="shared" si="129"/>
        <v>4139.4598838205638</v>
      </c>
      <c r="BD111" s="817">
        <f t="shared" si="130"/>
        <v>0.85</v>
      </c>
      <c r="BE111" s="815">
        <f t="shared" si="131"/>
        <v>783831.7862578124</v>
      </c>
      <c r="BF111" s="833">
        <f t="shared" si="107"/>
        <v>7045.3016908127875</v>
      </c>
      <c r="BG111" s="833">
        <f t="shared" si="108"/>
        <v>9100.9516665612191</v>
      </c>
      <c r="BH111" s="833">
        <f t="shared" si="109"/>
        <v>15520.808821927765</v>
      </c>
      <c r="BK111" s="818"/>
      <c r="BL111" s="907">
        <f t="shared" si="75"/>
        <v>46082</v>
      </c>
      <c r="BM111" s="908">
        <f t="shared" si="110"/>
        <v>29</v>
      </c>
      <c r="BN111" s="909"/>
      <c r="BO111" s="907">
        <f t="shared" si="111"/>
        <v>46147</v>
      </c>
      <c r="BP111" s="914">
        <f t="shared" si="72"/>
        <v>31</v>
      </c>
      <c r="BQ111" s="818"/>
      <c r="BR111" s="818"/>
      <c r="BS111" s="818"/>
      <c r="BT111" s="818"/>
      <c r="BU111" s="818"/>
      <c r="BV111" s="818"/>
      <c r="BW111" s="818"/>
      <c r="BX111" s="818"/>
      <c r="BY111" s="818"/>
      <c r="BZ111" s="818"/>
      <c r="CA111" s="969" t="s">
        <v>262</v>
      </c>
      <c r="CB111" s="812" t="s">
        <v>262</v>
      </c>
      <c r="CC111" s="832" t="b">
        <f t="shared" si="112"/>
        <v>1</v>
      </c>
      <c r="CD111" s="717" t="s">
        <v>262</v>
      </c>
      <c r="CE111" s="949" t="b">
        <f t="shared" si="113"/>
        <v>1</v>
      </c>
      <c r="CG111" s="842"/>
      <c r="CH111" s="878"/>
      <c r="ED111" s="947"/>
      <c r="EF111" s="947"/>
      <c r="EG111" s="947"/>
      <c r="EH111" s="947"/>
      <c r="EI111" s="947"/>
      <c r="EJ111" s="947"/>
      <c r="EK111" s="947"/>
      <c r="EL111" s="947"/>
      <c r="EW111" s="840"/>
      <c r="EX111" s="938">
        <f t="shared" si="132"/>
        <v>922155.04265624995</v>
      </c>
      <c r="EY111" s="942">
        <f t="shared" si="133"/>
        <v>0.15</v>
      </c>
      <c r="EZ111" s="938">
        <f t="shared" si="134"/>
        <v>138323.25639843749</v>
      </c>
      <c r="FA111" s="938">
        <f t="shared" si="135"/>
        <v>10000</v>
      </c>
      <c r="FB111" s="938">
        <f t="shared" si="136"/>
        <v>128323.25639843749</v>
      </c>
      <c r="FC111" s="813">
        <f t="shared" si="73"/>
        <v>48</v>
      </c>
      <c r="FD111" s="814">
        <f t="shared" si="114"/>
        <v>2673.4011749674478</v>
      </c>
      <c r="FE111" s="942">
        <f t="shared" si="115"/>
        <v>0.85</v>
      </c>
      <c r="FF111" s="938">
        <f t="shared" si="116"/>
        <v>783831.7862578124</v>
      </c>
      <c r="FG111" s="940">
        <f t="shared" si="117"/>
        <v>7045.3016908127875</v>
      </c>
      <c r="FH111" s="940">
        <f t="shared" si="118"/>
        <v>9100.9516665612191</v>
      </c>
      <c r="FI111" s="940">
        <f t="shared" si="119"/>
        <v>15520.808821927765</v>
      </c>
      <c r="FJ111" s="840"/>
      <c r="FK111" s="938">
        <f t="shared" si="126"/>
        <v>-1466.0587088531161</v>
      </c>
      <c r="FN111" s="957"/>
      <c r="FO111" s="957"/>
      <c r="FP111" s="957"/>
      <c r="FU111" s="957"/>
      <c r="FV111" s="957"/>
    </row>
    <row r="112" spans="1:178" s="717" customFormat="1" ht="14.5" hidden="1" x14ac:dyDescent="0.35">
      <c r="A112" s="813">
        <f t="shared" si="120"/>
        <v>101</v>
      </c>
      <c r="B112" s="813"/>
      <c r="C112" s="813" t="s">
        <v>378</v>
      </c>
      <c r="D112" s="813">
        <f t="shared" si="74"/>
        <v>48</v>
      </c>
      <c r="E112" s="813" t="s">
        <v>379</v>
      </c>
      <c r="F112" s="575" t="s">
        <v>574</v>
      </c>
      <c r="G112" s="575" t="s">
        <v>375</v>
      </c>
      <c r="H112" s="575">
        <v>13.5</v>
      </c>
      <c r="I112" s="814">
        <v>52000</v>
      </c>
      <c r="J112" s="815">
        <f t="shared" si="82"/>
        <v>702000</v>
      </c>
      <c r="K112" s="815"/>
      <c r="L112" s="815"/>
      <c r="M112" s="815"/>
      <c r="N112" s="815">
        <f t="shared" si="83"/>
        <v>702000</v>
      </c>
      <c r="O112" s="815">
        <f t="shared" si="84"/>
        <v>17550</v>
      </c>
      <c r="P112" s="815">
        <f t="shared" si="85"/>
        <v>719550</v>
      </c>
      <c r="Q112" s="948">
        <f t="shared" si="86"/>
        <v>1.2500000000000001E-2</v>
      </c>
      <c r="R112" s="815">
        <f t="shared" si="87"/>
        <v>8994.375</v>
      </c>
      <c r="S112" s="955" t="s">
        <v>450</v>
      </c>
      <c r="T112" s="955">
        <f t="shared" si="88"/>
        <v>728544.375</v>
      </c>
      <c r="U112" s="955"/>
      <c r="V112" s="955">
        <f t="shared" si="89"/>
        <v>27320.4140625</v>
      </c>
      <c r="W112" s="955">
        <f t="shared" si="90"/>
        <v>755864.7890625</v>
      </c>
      <c r="X112" s="955"/>
      <c r="Y112" s="955">
        <f t="shared" si="91"/>
        <v>755864.7890625</v>
      </c>
      <c r="Z112" s="955"/>
      <c r="AA112" s="955">
        <f t="shared" si="92"/>
        <v>755864.7890625</v>
      </c>
      <c r="AB112" s="955"/>
      <c r="AC112" s="955">
        <f t="shared" si="93"/>
        <v>755864.7890625</v>
      </c>
      <c r="AD112" s="955"/>
      <c r="AE112" s="955">
        <f t="shared" si="94"/>
        <v>755864.7890625</v>
      </c>
      <c r="AF112" s="955"/>
      <c r="AG112" s="955">
        <f t="shared" si="95"/>
        <v>755864.7890625</v>
      </c>
      <c r="AH112" s="955"/>
      <c r="AI112" s="955">
        <f t="shared" si="96"/>
        <v>755864.7890625</v>
      </c>
      <c r="AJ112" s="955"/>
      <c r="AK112" s="955">
        <f t="shared" si="97"/>
        <v>755864.7890625</v>
      </c>
      <c r="AL112" s="955"/>
      <c r="AM112" s="955">
        <f t="shared" si="98"/>
        <v>755864.7890625</v>
      </c>
      <c r="AN112" s="955"/>
      <c r="AO112" s="955">
        <f t="shared" si="99"/>
        <v>755864.7890625</v>
      </c>
      <c r="AP112" s="955"/>
      <c r="AQ112" s="1000">
        <f t="shared" si="100"/>
        <v>755864.7890625</v>
      </c>
      <c r="AR112" s="955"/>
      <c r="AS112" s="1000">
        <f t="shared" si="101"/>
        <v>755864.7890625</v>
      </c>
      <c r="AT112" s="815">
        <f t="shared" si="102"/>
        <v>755864.7890625</v>
      </c>
      <c r="AU112" s="815">
        <f t="shared" si="103"/>
        <v>90703.774687500001</v>
      </c>
      <c r="AV112" s="815">
        <f t="shared" si="104"/>
        <v>75586.478906250006</v>
      </c>
      <c r="AW112" s="815">
        <f t="shared" si="105"/>
        <v>922155.04265624995</v>
      </c>
      <c r="AX112" s="816">
        <v>0.15</v>
      </c>
      <c r="AY112" s="815">
        <f t="shared" si="127"/>
        <v>138323.25639843749</v>
      </c>
      <c r="AZ112" s="815">
        <v>10000</v>
      </c>
      <c r="BA112" s="815">
        <f t="shared" si="128"/>
        <v>128323.25639843749</v>
      </c>
      <c r="BB112" s="825">
        <f t="shared" si="71"/>
        <v>31</v>
      </c>
      <c r="BC112" s="814">
        <f t="shared" si="129"/>
        <v>4139.4598838205638</v>
      </c>
      <c r="BD112" s="817">
        <f t="shared" si="130"/>
        <v>0.85</v>
      </c>
      <c r="BE112" s="815">
        <f t="shared" si="131"/>
        <v>783831.7862578124</v>
      </c>
      <c r="BF112" s="833">
        <f t="shared" si="107"/>
        <v>7045.3016908127875</v>
      </c>
      <c r="BG112" s="833">
        <f t="shared" si="108"/>
        <v>9100.9516665612191</v>
      </c>
      <c r="BH112" s="833">
        <f t="shared" si="109"/>
        <v>15520.808821927765</v>
      </c>
      <c r="BK112" s="818"/>
      <c r="BL112" s="907">
        <f t="shared" si="75"/>
        <v>46082</v>
      </c>
      <c r="BM112" s="908">
        <f t="shared" si="110"/>
        <v>29</v>
      </c>
      <c r="BN112" s="909"/>
      <c r="BO112" s="907">
        <f t="shared" si="111"/>
        <v>46147</v>
      </c>
      <c r="BP112" s="914">
        <f t="shared" si="72"/>
        <v>31</v>
      </c>
      <c r="BQ112" s="818"/>
      <c r="BR112" s="818"/>
      <c r="BS112" s="818"/>
      <c r="BT112" s="818"/>
      <c r="BU112" s="818"/>
      <c r="BV112" s="818"/>
      <c r="BW112" s="818"/>
      <c r="BX112" s="818"/>
      <c r="BY112" s="818"/>
      <c r="BZ112" s="818"/>
      <c r="CA112" s="969" t="s">
        <v>262</v>
      </c>
      <c r="CB112" s="812" t="s">
        <v>262</v>
      </c>
      <c r="CC112" s="832" t="b">
        <f t="shared" si="112"/>
        <v>1</v>
      </c>
      <c r="CD112" s="717" t="s">
        <v>262</v>
      </c>
      <c r="CE112" s="949" t="b">
        <f t="shared" si="113"/>
        <v>1</v>
      </c>
      <c r="CG112" s="842"/>
      <c r="CH112" s="878"/>
      <c r="ED112" s="947"/>
      <c r="EF112" s="947"/>
      <c r="EG112" s="947"/>
      <c r="EH112" s="947"/>
      <c r="EI112" s="947"/>
      <c r="EJ112" s="947"/>
      <c r="EK112" s="947"/>
      <c r="EL112" s="947"/>
      <c r="EW112" s="840"/>
      <c r="EX112" s="938">
        <f t="shared" si="132"/>
        <v>922155.04265624995</v>
      </c>
      <c r="EY112" s="942">
        <f t="shared" si="133"/>
        <v>0.15</v>
      </c>
      <c r="EZ112" s="938">
        <f t="shared" si="134"/>
        <v>138323.25639843749</v>
      </c>
      <c r="FA112" s="938">
        <f t="shared" si="135"/>
        <v>10000</v>
      </c>
      <c r="FB112" s="938">
        <f t="shared" si="136"/>
        <v>128323.25639843749</v>
      </c>
      <c r="FC112" s="813">
        <f t="shared" si="73"/>
        <v>48</v>
      </c>
      <c r="FD112" s="814">
        <f t="shared" si="114"/>
        <v>2673.4011749674478</v>
      </c>
      <c r="FE112" s="942">
        <f t="shared" si="115"/>
        <v>0.85</v>
      </c>
      <c r="FF112" s="938">
        <f t="shared" si="116"/>
        <v>783831.7862578124</v>
      </c>
      <c r="FG112" s="940">
        <f t="shared" si="117"/>
        <v>7045.3016908127875</v>
      </c>
      <c r="FH112" s="940">
        <f t="shared" si="118"/>
        <v>9100.9516665612191</v>
      </c>
      <c r="FI112" s="940">
        <f t="shared" si="119"/>
        <v>15520.808821927765</v>
      </c>
      <c r="FJ112" s="840"/>
      <c r="FK112" s="938">
        <f t="shared" si="126"/>
        <v>-1466.0587088531161</v>
      </c>
      <c r="FN112" s="957"/>
      <c r="FO112" s="957"/>
      <c r="FP112" s="957"/>
      <c r="FU112" s="957"/>
      <c r="FV112" s="957"/>
    </row>
    <row r="113" spans="1:178" s="717" customFormat="1" ht="14.5" hidden="1" x14ac:dyDescent="0.35">
      <c r="A113" s="813">
        <f>A112+1</f>
        <v>102</v>
      </c>
      <c r="B113" s="813"/>
      <c r="C113" s="813" t="s">
        <v>378</v>
      </c>
      <c r="D113" s="813">
        <f t="shared" si="74"/>
        <v>49</v>
      </c>
      <c r="E113" s="813" t="s">
        <v>379</v>
      </c>
      <c r="F113" s="575" t="s">
        <v>575</v>
      </c>
      <c r="G113" s="575" t="s">
        <v>375</v>
      </c>
      <c r="H113" s="575">
        <v>13.5</v>
      </c>
      <c r="I113" s="814">
        <v>52000</v>
      </c>
      <c r="J113" s="815">
        <f t="shared" si="82"/>
        <v>702000</v>
      </c>
      <c r="K113" s="815"/>
      <c r="L113" s="815"/>
      <c r="M113" s="815">
        <v>10000</v>
      </c>
      <c r="N113" s="815">
        <f t="shared" si="83"/>
        <v>712000</v>
      </c>
      <c r="O113" s="815">
        <f t="shared" si="84"/>
        <v>17800</v>
      </c>
      <c r="P113" s="815">
        <f t="shared" si="85"/>
        <v>729800</v>
      </c>
      <c r="Q113" s="948">
        <f t="shared" si="86"/>
        <v>1.2500000000000001E-2</v>
      </c>
      <c r="R113" s="815">
        <f t="shared" si="87"/>
        <v>9122.5</v>
      </c>
      <c r="S113" s="955">
        <v>0</v>
      </c>
      <c r="T113" s="955">
        <f>P113+R113+S113</f>
        <v>738922.5</v>
      </c>
      <c r="U113" s="955"/>
      <c r="V113" s="955">
        <f>T113*$V$10</f>
        <v>27709.59375</v>
      </c>
      <c r="W113" s="955">
        <f>T113+U113+V113</f>
        <v>766632.09375</v>
      </c>
      <c r="X113" s="955"/>
      <c r="Y113" s="955">
        <f t="shared" si="91"/>
        <v>766632.09375</v>
      </c>
      <c r="Z113" s="955"/>
      <c r="AA113" s="955">
        <f t="shared" si="92"/>
        <v>766632.09375</v>
      </c>
      <c r="AB113" s="955"/>
      <c r="AC113" s="955">
        <f t="shared" si="93"/>
        <v>766632.09375</v>
      </c>
      <c r="AD113" s="955"/>
      <c r="AE113" s="955">
        <f t="shared" si="94"/>
        <v>766632.09375</v>
      </c>
      <c r="AF113" s="955"/>
      <c r="AG113" s="955">
        <f t="shared" si="95"/>
        <v>766632.09375</v>
      </c>
      <c r="AH113" s="955"/>
      <c r="AI113" s="955">
        <f t="shared" si="96"/>
        <v>766632.09375</v>
      </c>
      <c r="AJ113" s="955"/>
      <c r="AK113" s="955">
        <f t="shared" si="97"/>
        <v>766632.09375</v>
      </c>
      <c r="AL113" s="955"/>
      <c r="AM113" s="955">
        <f t="shared" si="98"/>
        <v>766632.09375</v>
      </c>
      <c r="AN113" s="955"/>
      <c r="AO113" s="955">
        <f t="shared" si="99"/>
        <v>766632.09375</v>
      </c>
      <c r="AP113" s="955"/>
      <c r="AQ113" s="1000">
        <f t="shared" si="100"/>
        <v>766632.09375</v>
      </c>
      <c r="AR113" s="955"/>
      <c r="AS113" s="1000">
        <f t="shared" si="101"/>
        <v>766632.09375</v>
      </c>
      <c r="AT113" s="815">
        <f t="shared" si="102"/>
        <v>766632.09375</v>
      </c>
      <c r="AU113" s="815">
        <f>AT113*$AU$10</f>
        <v>91995.851249999992</v>
      </c>
      <c r="AV113" s="815">
        <f>AT113*$AV$10</f>
        <v>76663.209375000006</v>
      </c>
      <c r="AW113" s="815">
        <f>SUM(AT113:AV113)</f>
        <v>935291.15437499993</v>
      </c>
      <c r="AX113" s="816">
        <v>0.15</v>
      </c>
      <c r="AY113" s="815">
        <f t="shared" si="127"/>
        <v>140293.67315624998</v>
      </c>
      <c r="AZ113" s="815">
        <v>10000</v>
      </c>
      <c r="BA113" s="815">
        <f t="shared" si="128"/>
        <v>130293.67315624998</v>
      </c>
      <c r="BB113" s="825">
        <f t="shared" si="71"/>
        <v>31</v>
      </c>
      <c r="BC113" s="814">
        <f t="shared" si="129"/>
        <v>4203.0217147177409</v>
      </c>
      <c r="BD113" s="817">
        <f t="shared" si="130"/>
        <v>0.85</v>
      </c>
      <c r="BE113" s="815">
        <f t="shared" si="131"/>
        <v>794997.48121874989</v>
      </c>
      <c r="BF113" s="833">
        <f t="shared" si="107"/>
        <v>7145.6621137588381</v>
      </c>
      <c r="BG113" s="833">
        <f t="shared" si="108"/>
        <v>9230.5948526945685</v>
      </c>
      <c r="BH113" s="833">
        <f t="shared" si="109"/>
        <v>15741.902964690269</v>
      </c>
      <c r="BK113" s="818"/>
      <c r="BL113" s="907">
        <f t="shared" si="75"/>
        <v>46082</v>
      </c>
      <c r="BM113" s="908">
        <f t="shared" si="110"/>
        <v>29</v>
      </c>
      <c r="BN113" s="909"/>
      <c r="BO113" s="907">
        <f t="shared" si="111"/>
        <v>46147</v>
      </c>
      <c r="BP113" s="914">
        <f t="shared" si="72"/>
        <v>31</v>
      </c>
      <c r="BQ113" s="818"/>
      <c r="BR113" s="818"/>
      <c r="BS113" s="818"/>
      <c r="BT113" s="818"/>
      <c r="BU113" s="818"/>
      <c r="BV113" s="818"/>
      <c r="BW113" s="818"/>
      <c r="BX113" s="818"/>
      <c r="BY113" s="818"/>
      <c r="BZ113" s="818"/>
      <c r="CA113" s="969" t="s">
        <v>262</v>
      </c>
      <c r="CB113" s="812" t="s">
        <v>262</v>
      </c>
      <c r="CC113" s="832" t="b">
        <f t="shared" si="112"/>
        <v>1</v>
      </c>
      <c r="CD113" s="717" t="s">
        <v>262</v>
      </c>
      <c r="CE113" s="949" t="b">
        <f t="shared" si="113"/>
        <v>1</v>
      </c>
      <c r="CG113" s="842"/>
      <c r="CH113" s="878"/>
      <c r="ED113" s="947"/>
      <c r="EF113" s="947"/>
      <c r="EG113" s="947"/>
      <c r="EH113" s="947"/>
      <c r="EI113" s="947"/>
      <c r="EJ113" s="947"/>
      <c r="EK113" s="947"/>
      <c r="EL113" s="947"/>
      <c r="EW113" s="840"/>
      <c r="EX113" s="938">
        <f t="shared" si="132"/>
        <v>935291.15437499993</v>
      </c>
      <c r="EY113" s="942">
        <f t="shared" si="133"/>
        <v>0.15</v>
      </c>
      <c r="EZ113" s="938">
        <f t="shared" si="134"/>
        <v>140293.67315624998</v>
      </c>
      <c r="FA113" s="938">
        <f t="shared" si="135"/>
        <v>10000</v>
      </c>
      <c r="FB113" s="938">
        <f t="shared" si="136"/>
        <v>130293.67315624998</v>
      </c>
      <c r="FC113" s="813">
        <f t="shared" si="73"/>
        <v>48</v>
      </c>
      <c r="FD113" s="814">
        <f t="shared" si="114"/>
        <v>2714.4515240885412</v>
      </c>
      <c r="FE113" s="942">
        <f t="shared" si="115"/>
        <v>0.85</v>
      </c>
      <c r="FF113" s="938">
        <f t="shared" si="116"/>
        <v>794997.48121874989</v>
      </c>
      <c r="FG113" s="940">
        <f t="shared" si="117"/>
        <v>7145.6621137588381</v>
      </c>
      <c r="FH113" s="940">
        <f t="shared" si="118"/>
        <v>9230.5948526945685</v>
      </c>
      <c r="FI113" s="940">
        <f t="shared" si="119"/>
        <v>15741.902964690269</v>
      </c>
      <c r="FJ113" s="840"/>
      <c r="FK113" s="938">
        <f t="shared" si="126"/>
        <v>-1488.5701906291997</v>
      </c>
      <c r="FN113" s="957"/>
      <c r="FO113" s="957"/>
      <c r="FP113" s="957"/>
      <c r="FU113" s="957"/>
      <c r="FV113" s="957"/>
    </row>
    <row r="114" spans="1:178" s="962" customFormat="1" ht="13.5" hidden="1" thickBot="1" x14ac:dyDescent="0.35">
      <c r="A114" s="959"/>
      <c r="B114" s="959">
        <f>SUM(B12:B113)</f>
        <v>0</v>
      </c>
      <c r="C114" s="959">
        <f>SUM(C12:C113)</f>
        <v>0</v>
      </c>
      <c r="D114" s="959"/>
      <c r="E114" s="959"/>
      <c r="F114" s="959">
        <f>SUM(F12:F113)</f>
        <v>0</v>
      </c>
      <c r="G114" s="959">
        <f>SUM(G12:G113)</f>
        <v>0</v>
      </c>
      <c r="H114" s="959">
        <f>SUM(H12:H113)</f>
        <v>1395</v>
      </c>
      <c r="I114" s="959">
        <f>SUM(I12:I113)</f>
        <v>5288000</v>
      </c>
      <c r="J114" s="959">
        <f>SUM(J12:J113)</f>
        <v>72244000</v>
      </c>
      <c r="K114" s="959"/>
      <c r="L114" s="959">
        <f>SUM(L12:L113)</f>
        <v>2065000</v>
      </c>
      <c r="M114" s="959">
        <f>SUM(M12:M113)</f>
        <v>10000</v>
      </c>
      <c r="N114" s="959">
        <f>SUM(N12:N113)</f>
        <v>77119000</v>
      </c>
      <c r="O114" s="959">
        <f t="shared" ref="O114:AU114" si="137">SUM(O12:O113)</f>
        <v>1927975</v>
      </c>
      <c r="P114" s="959">
        <f t="shared" si="137"/>
        <v>79046975</v>
      </c>
      <c r="Q114" s="959">
        <f t="shared" si="137"/>
        <v>1.2749999999999975</v>
      </c>
      <c r="R114" s="959">
        <f t="shared" si="137"/>
        <v>988087.1875</v>
      </c>
      <c r="S114" s="959">
        <f t="shared" si="137"/>
        <v>23928.912000000008</v>
      </c>
      <c r="T114" s="959">
        <f t="shared" si="137"/>
        <v>80058991.099499971</v>
      </c>
      <c r="U114" s="959">
        <f t="shared" si="137"/>
        <v>0</v>
      </c>
      <c r="V114" s="959">
        <f t="shared" si="137"/>
        <v>3002212.1662312504</v>
      </c>
      <c r="W114" s="959">
        <f t="shared" si="137"/>
        <v>83061203.265731245</v>
      </c>
      <c r="X114" s="959">
        <f t="shared" si="137"/>
        <v>0</v>
      </c>
      <c r="Y114" s="959">
        <f t="shared" si="137"/>
        <v>83061203.265731245</v>
      </c>
      <c r="Z114" s="959">
        <f t="shared" si="137"/>
        <v>0</v>
      </c>
      <c r="AA114" s="959">
        <f t="shared" si="137"/>
        <v>83061203.265731245</v>
      </c>
      <c r="AB114" s="959">
        <f t="shared" si="137"/>
        <v>0</v>
      </c>
      <c r="AC114" s="959">
        <f t="shared" si="137"/>
        <v>83061203.265731245</v>
      </c>
      <c r="AD114" s="959">
        <f t="shared" si="137"/>
        <v>0</v>
      </c>
      <c r="AE114" s="959">
        <f t="shared" si="137"/>
        <v>83061203.265731245</v>
      </c>
      <c r="AF114" s="959"/>
      <c r="AG114" s="959">
        <f t="shared" si="137"/>
        <v>83061203.265731245</v>
      </c>
      <c r="AH114" s="959"/>
      <c r="AI114" s="959">
        <f t="shared" si="137"/>
        <v>83061203.265731245</v>
      </c>
      <c r="AJ114" s="959"/>
      <c r="AK114" s="959">
        <f t="shared" si="137"/>
        <v>83061203.265731245</v>
      </c>
      <c r="AL114" s="959"/>
      <c r="AM114" s="959">
        <f t="shared" si="137"/>
        <v>83061203.265731245</v>
      </c>
      <c r="AN114" s="959"/>
      <c r="AO114" s="959"/>
      <c r="AP114" s="959"/>
      <c r="AQ114" s="959"/>
      <c r="AR114" s="959"/>
      <c r="AS114" s="959"/>
      <c r="AT114" s="959">
        <f t="shared" si="137"/>
        <v>83078592.027331263</v>
      </c>
      <c r="AU114" s="959">
        <f t="shared" si="137"/>
        <v>9969431.0432797577</v>
      </c>
      <c r="AV114" s="959">
        <f>SUM(AV12:AV113)</f>
        <v>8307859.2027331078</v>
      </c>
      <c r="AW114" s="959">
        <f>SUM(AW12:AW113)</f>
        <v>101355882.27334394</v>
      </c>
      <c r="AX114" s="959">
        <f>SUM(AX12:AX56)</f>
        <v>6.7500000000000053</v>
      </c>
      <c r="AY114" s="959">
        <f>SUM(AY12:AY56)</f>
        <v>6876678.8207621304</v>
      </c>
      <c r="AZ114" s="959">
        <f>SUM(AZ12:AZ113)</f>
        <v>1020000</v>
      </c>
      <c r="BA114" s="959">
        <f>SUM(BA12:BA113)</f>
        <v>14183382.341001617</v>
      </c>
      <c r="BB114" s="959"/>
      <c r="BC114" s="959">
        <f>SUM(BC12:BC113)</f>
        <v>4212083.1469540084</v>
      </c>
      <c r="BD114" s="959">
        <f>SUM(BD12:BD113)</f>
        <v>86.699999999999918</v>
      </c>
      <c r="BE114" s="959">
        <f>SUM(BE12:BE113)</f>
        <v>86152499.932342649</v>
      </c>
      <c r="BF114" s="959">
        <f>SUM(BF12:BF113)</f>
        <v>774363.02543801244</v>
      </c>
      <c r="BG114" s="959">
        <f t="shared" ref="BG114:BH114" si="138">SUM(BG12:BG113)</f>
        <v>1000303.5748026894</v>
      </c>
      <c r="BH114" s="959">
        <f t="shared" si="138"/>
        <v>1705922.755907764</v>
      </c>
      <c r="BI114" s="960"/>
      <c r="BJ114" s="960"/>
      <c r="BK114" s="960"/>
      <c r="BL114" s="961"/>
      <c r="BM114" s="961"/>
      <c r="BN114" s="961"/>
      <c r="BO114" s="961"/>
      <c r="BP114" s="961"/>
      <c r="BQ114" s="960"/>
      <c r="BR114" s="960"/>
      <c r="BS114" s="960"/>
      <c r="BT114" s="960"/>
      <c r="BU114" s="960"/>
      <c r="BV114" s="960"/>
      <c r="BW114" s="960"/>
      <c r="BX114" s="960"/>
      <c r="BY114" s="960"/>
      <c r="BZ114" s="960"/>
      <c r="CA114" s="804"/>
      <c r="CE114" s="963"/>
      <c r="CG114" s="842"/>
      <c r="CH114" s="878"/>
      <c r="EW114" s="963"/>
      <c r="EY114" s="964"/>
      <c r="FD114" s="965"/>
      <c r="FE114" s="964"/>
      <c r="FJ114" s="963"/>
    </row>
    <row r="115" spans="1:178" s="710" customFormat="1" hidden="1" x14ac:dyDescent="0.3">
      <c r="D115" s="798"/>
      <c r="I115" s="799"/>
      <c r="J115" s="799"/>
      <c r="K115" s="799"/>
      <c r="L115" s="799"/>
      <c r="M115" s="799"/>
      <c r="N115" s="799"/>
      <c r="O115" s="799"/>
      <c r="P115" s="799"/>
      <c r="Q115" s="799"/>
      <c r="R115" s="799"/>
      <c r="S115" s="799">
        <f>S114-SUM(S8:S10)</f>
        <v>-17388.761599999994</v>
      </c>
      <c r="T115" s="799"/>
      <c r="U115" s="799"/>
      <c r="V115" s="799"/>
      <c r="W115" s="799"/>
      <c r="X115" s="799"/>
      <c r="Y115" s="799"/>
      <c r="Z115" s="799"/>
      <c r="AA115" s="799"/>
      <c r="AB115" s="799"/>
      <c r="AC115" s="799"/>
      <c r="AD115" s="799"/>
      <c r="AE115" s="799"/>
      <c r="AF115" s="799"/>
      <c r="AG115" s="799"/>
      <c r="AH115" s="799"/>
      <c r="AI115" s="799"/>
      <c r="AJ115" s="799"/>
      <c r="AK115" s="799"/>
      <c r="AL115" s="799"/>
      <c r="AM115" s="799"/>
      <c r="AN115" s="799"/>
      <c r="AO115" s="799"/>
      <c r="AP115" s="799"/>
      <c r="AQ115" s="799"/>
      <c r="AR115" s="799"/>
      <c r="AS115" s="799"/>
      <c r="AT115" s="800"/>
      <c r="AU115" s="800"/>
      <c r="AV115" s="800"/>
      <c r="AW115" s="800"/>
      <c r="AX115" s="801"/>
      <c r="AY115" s="800"/>
      <c r="AZ115" s="800"/>
      <c r="BA115" s="800"/>
      <c r="BB115" s="800"/>
      <c r="BC115" s="800"/>
      <c r="BD115" s="800"/>
      <c r="BE115" s="800"/>
      <c r="BF115" s="800"/>
      <c r="BG115" s="800"/>
      <c r="BH115" s="800"/>
      <c r="BL115" s="902"/>
      <c r="BM115" s="902"/>
      <c r="BN115" s="902"/>
      <c r="BO115" s="902"/>
      <c r="BP115" s="902"/>
      <c r="CA115" s="711"/>
      <c r="CB115" s="798"/>
      <c r="CC115" s="798"/>
      <c r="CE115" s="838"/>
      <c r="CG115" s="711"/>
      <c r="CH115" s="834"/>
      <c r="EW115" s="838"/>
      <c r="EY115" s="846"/>
      <c r="FD115" s="944"/>
      <c r="FE115" s="846"/>
      <c r="FJ115" s="838"/>
    </row>
    <row r="116" spans="1:178" x14ac:dyDescent="0.3">
      <c r="J116" s="1031"/>
      <c r="K116" s="1031"/>
      <c r="CG116" s="1008"/>
      <c r="CH116" s="1038"/>
    </row>
    <row r="117" spans="1:178" ht="14.5" x14ac:dyDescent="0.3">
      <c r="B117" s="710" t="s">
        <v>380</v>
      </c>
      <c r="C117" s="1008">
        <f>D37</f>
        <v>26</v>
      </c>
      <c r="D117" s="803"/>
      <c r="BZ117" s="1039" t="s">
        <v>399</v>
      </c>
      <c r="CG117" s="1008"/>
      <c r="CH117" s="1038"/>
    </row>
    <row r="118" spans="1:178" x14ac:dyDescent="0.3">
      <c r="B118" s="710" t="s">
        <v>381</v>
      </c>
      <c r="C118" s="1008">
        <f>D64</f>
        <v>27</v>
      </c>
      <c r="D118" s="803"/>
      <c r="BZ118" s="1040" t="s">
        <v>262</v>
      </c>
      <c r="CA118" s="1040">
        <f>COUNTIFS($C$11:$C$113,"Building 1",$CA$11:$CA$113,"Sold")</f>
        <v>18</v>
      </c>
      <c r="CB118" s="1021"/>
      <c r="CG118" s="1008"/>
      <c r="CH118" s="1038"/>
    </row>
    <row r="119" spans="1:178" x14ac:dyDescent="0.3">
      <c r="B119" s="710" t="s">
        <v>382</v>
      </c>
      <c r="C119" s="1008">
        <f>D113</f>
        <v>49</v>
      </c>
      <c r="D119" s="803"/>
      <c r="BE119" s="1032" t="s">
        <v>417</v>
      </c>
      <c r="BF119" s="1033"/>
      <c r="BG119" s="1033"/>
      <c r="BH119" s="1033"/>
      <c r="BZ119" s="1040" t="s">
        <v>263</v>
      </c>
      <c r="CA119" s="1040">
        <f>COUNTIFS($C$11:$C$113,"Building 1",$CA$11:$CA$113,"Unsold")</f>
        <v>6</v>
      </c>
      <c r="CB119" s="1017"/>
      <c r="CG119" s="1008"/>
      <c r="CH119" s="1038"/>
    </row>
    <row r="120" spans="1:178" ht="15.5" x14ac:dyDescent="0.3">
      <c r="BE120" s="1034" t="s">
        <v>418</v>
      </c>
      <c r="BF120" s="1035"/>
      <c r="BG120" s="1035"/>
      <c r="BH120" s="1033"/>
      <c r="BZ120" s="1040" t="s">
        <v>403</v>
      </c>
      <c r="CA120" s="1040">
        <f>COUNTIFS($C$11:$C$113,"Building 1",$CA$11:$CA$113,"Hold")</f>
        <v>1</v>
      </c>
      <c r="CB120" s="1017"/>
      <c r="CG120" s="1008"/>
      <c r="CH120" s="1038"/>
    </row>
    <row r="121" spans="1:178" x14ac:dyDescent="0.3">
      <c r="BE121" s="1036" t="s">
        <v>419</v>
      </c>
      <c r="BF121" s="1036" t="s">
        <v>420</v>
      </c>
      <c r="BG121" s="1035"/>
      <c r="BH121" s="1033"/>
      <c r="BZ121" s="1040" t="s">
        <v>328</v>
      </c>
      <c r="CA121" s="1040">
        <f>COUNTIFS($C$11:$C$113,"Building 1",$CA$11:$CA$113,"Not Yet Open")</f>
        <v>1</v>
      </c>
      <c r="CB121" s="1017"/>
      <c r="CG121" s="1008"/>
      <c r="CH121" s="1038"/>
    </row>
    <row r="122" spans="1:178" ht="13.5" thickBot="1" x14ac:dyDescent="0.35">
      <c r="BE122" s="1036" t="s">
        <v>421</v>
      </c>
      <c r="BF122" s="1036" t="s">
        <v>422</v>
      </c>
      <c r="BG122" s="1035"/>
      <c r="BH122" s="1037"/>
      <c r="BZ122" s="1041" t="s">
        <v>235</v>
      </c>
      <c r="CA122" s="1041">
        <f>SUM(CA118:CA121)</f>
        <v>26</v>
      </c>
      <c r="CB122" s="1017"/>
      <c r="CG122" s="1008"/>
      <c r="CH122" s="1038"/>
    </row>
    <row r="123" spans="1:178" ht="27.5" customHeight="1" thickBot="1" x14ac:dyDescent="0.35">
      <c r="BE123" s="1097" t="s">
        <v>423</v>
      </c>
      <c r="BF123" s="1098"/>
      <c r="BG123" s="1098"/>
      <c r="BH123" s="1099"/>
      <c r="CG123" s="1008"/>
      <c r="CH123" s="1038"/>
    </row>
    <row r="124" spans="1:178" ht="14.5" x14ac:dyDescent="0.3">
      <c r="BZ124" s="1039" t="s">
        <v>404</v>
      </c>
      <c r="CG124" s="1008"/>
      <c r="CH124" s="1038"/>
    </row>
    <row r="125" spans="1:178" x14ac:dyDescent="0.3">
      <c r="BZ125" s="1040" t="s">
        <v>262</v>
      </c>
      <c r="CA125" s="1040">
        <f>COUNTIFS($C$11:$C$113,"Building 2",$CA$11:$CA$113,"Sold")</f>
        <v>10</v>
      </c>
      <c r="CB125" s="1021"/>
    </row>
    <row r="126" spans="1:178" x14ac:dyDescent="0.3">
      <c r="BZ126" s="1040" t="s">
        <v>263</v>
      </c>
      <c r="CA126" s="1040">
        <f>COUNTIFS($C$11:$C$113,"Building 2",$CA$11:$CA$113,"Unsold")</f>
        <v>16</v>
      </c>
      <c r="CB126" s="1017"/>
    </row>
    <row r="127" spans="1:178" x14ac:dyDescent="0.3">
      <c r="BZ127" s="1040" t="s">
        <v>403</v>
      </c>
      <c r="CA127" s="1040">
        <f>COUNTIFS($C$11:$C$113,"Building 2",$CA$11:$CA$113,"Hold")</f>
        <v>0</v>
      </c>
      <c r="CB127" s="1017"/>
    </row>
    <row r="128" spans="1:178" x14ac:dyDescent="0.3">
      <c r="BZ128" s="1040" t="s">
        <v>328</v>
      </c>
      <c r="CA128" s="1040">
        <f>COUNTIFS($C$11:$C$113,"Building 2",$CA$11:$CA$113,"NOT YET OPEN")</f>
        <v>1</v>
      </c>
      <c r="CB128" s="1017"/>
    </row>
    <row r="129" spans="78:80" x14ac:dyDescent="0.3">
      <c r="BZ129" s="1041" t="s">
        <v>235</v>
      </c>
      <c r="CA129" s="1041">
        <f>SUM(CA125:CA128)</f>
        <v>27</v>
      </c>
      <c r="CB129" s="1017"/>
    </row>
    <row r="131" spans="78:80" ht="14.5" x14ac:dyDescent="0.3">
      <c r="BZ131" s="1039" t="s">
        <v>405</v>
      </c>
    </row>
    <row r="132" spans="78:80" x14ac:dyDescent="0.3">
      <c r="BZ132" s="1040" t="s">
        <v>262</v>
      </c>
      <c r="CA132" s="1040">
        <f>COUNTIFS($C$11:$C$113,"Building 3",$CA$11:$CA$113,"Sold")</f>
        <v>34</v>
      </c>
      <c r="CB132" s="1021"/>
    </row>
    <row r="133" spans="78:80" x14ac:dyDescent="0.3">
      <c r="BZ133" s="1040" t="s">
        <v>263</v>
      </c>
      <c r="CA133" s="1040">
        <f>COUNTIFS($C$11:$C$113,"Building 3",$CA$11:$CA$113,"Unsold")</f>
        <v>10</v>
      </c>
      <c r="CB133" s="1017"/>
    </row>
    <row r="134" spans="78:80" x14ac:dyDescent="0.3">
      <c r="BZ134" s="1040" t="s">
        <v>403</v>
      </c>
      <c r="CA134" s="1040">
        <f>COUNTIFS($C$11:$C$113,"Building 3",$CA$11:$CA$113,"Hold")</f>
        <v>3</v>
      </c>
      <c r="CB134" s="1017"/>
    </row>
    <row r="135" spans="78:80" x14ac:dyDescent="0.3">
      <c r="BZ135" s="1040" t="s">
        <v>328</v>
      </c>
      <c r="CA135" s="1040">
        <f>COUNTIFS($C$11:$C$113,"Building 3",$CA$11:$CA$113,"NOT YET OPEN")</f>
        <v>2</v>
      </c>
      <c r="CB135" s="1017"/>
    </row>
    <row r="136" spans="78:80" x14ac:dyDescent="0.3">
      <c r="BZ136" s="1041" t="s">
        <v>235</v>
      </c>
      <c r="CA136" s="1041">
        <f>SUM(CA132:CA135)</f>
        <v>49</v>
      </c>
      <c r="CB136" s="1017"/>
    </row>
    <row r="139" spans="78:80" ht="13.5" thickBot="1" x14ac:dyDescent="0.35">
      <c r="BZ139" s="1042" t="s">
        <v>235</v>
      </c>
      <c r="CA139" s="1043">
        <f>CA136+CA129+CA122</f>
        <v>102</v>
      </c>
    </row>
  </sheetData>
  <sheetProtection password="CC2E" sheet="1" objects="1" scenarios="1"/>
  <autoFilter ref="A11:FV115" xr:uid="{2CD3DDA1-E872-425E-BE9B-1A5DACCA1FC2}">
    <filterColumn colId="70" showButton="0"/>
    <filterColumn colId="71" showButton="0"/>
    <filterColumn colId="72" showButton="0"/>
    <filterColumn colId="73" showButton="0"/>
    <filterColumn colId="74" showButton="0"/>
    <filterColumn colId="78">
      <filters>
        <filter val="UNSOLD"/>
      </filters>
    </filterColumn>
    <filterColumn colId="84" showButton="0"/>
    <filterColumn colId="86" showButton="0"/>
    <filterColumn colId="88" showButton="0"/>
    <filterColumn colId="90" showButton="0"/>
    <filterColumn colId="92" showButton="0"/>
    <filterColumn colId="94" showButton="0"/>
    <filterColumn colId="96" showButton="0"/>
    <filterColumn colId="98" showButton="0"/>
    <filterColumn colId="100" showButton="0"/>
    <filterColumn colId="102" showButton="0"/>
    <filterColumn colId="104" showButton="0"/>
    <filterColumn colId="106" showButton="0"/>
    <filterColumn colId="108" showButton="0"/>
    <filterColumn colId="110" showButton="0"/>
    <filterColumn colId="112" showButton="0"/>
    <filterColumn colId="114" showButton="0"/>
    <filterColumn colId="116" showButton="0"/>
    <filterColumn colId="118" showButton="0"/>
    <filterColumn colId="120" showButton="0"/>
    <filterColumn colId="122" showButton="0"/>
    <filterColumn colId="124" showButton="0"/>
    <filterColumn colId="126" showButton="0"/>
    <filterColumn colId="128" showButton="0"/>
    <filterColumn colId="130" showButton="0"/>
    <filterColumn colId="132" showButton="0"/>
    <filterColumn colId="134" showButton="0"/>
    <filterColumn colId="136" showButton="0"/>
    <filterColumn colId="138" showButton="0"/>
    <filterColumn colId="140" showButton="0"/>
    <filterColumn colId="142" showButton="0"/>
    <filterColumn colId="144" showButton="0"/>
  </autoFilter>
  <mergeCells count="34">
    <mergeCell ref="EG11:EH11"/>
    <mergeCell ref="EE11:EF11"/>
    <mergeCell ref="EC11:ED11"/>
    <mergeCell ref="EA11:EB11"/>
    <mergeCell ref="EX1:FI1"/>
    <mergeCell ref="EI11:EJ11"/>
    <mergeCell ref="EK11:EL11"/>
    <mergeCell ref="EM11:EN11"/>
    <mergeCell ref="EO11:EP11"/>
    <mergeCell ref="CS11:CT11"/>
    <mergeCell ref="CU11:CV11"/>
    <mergeCell ref="CY11:CZ11"/>
    <mergeCell ref="CW11:CX11"/>
    <mergeCell ref="DA11:DB11"/>
    <mergeCell ref="DC11:DD11"/>
    <mergeCell ref="DE11:DF11"/>
    <mergeCell ref="DM11:DN11"/>
    <mergeCell ref="DO11:DP11"/>
    <mergeCell ref="DQ11:DR11"/>
    <mergeCell ref="DS11:DT11"/>
    <mergeCell ref="DU11:DV11"/>
    <mergeCell ref="DY11:DZ11"/>
    <mergeCell ref="DW11:DX11"/>
    <mergeCell ref="DG11:DH11"/>
    <mergeCell ref="DI11:DJ11"/>
    <mergeCell ref="DK11:DL11"/>
    <mergeCell ref="CQ11:CR11"/>
    <mergeCell ref="CO11:CP11"/>
    <mergeCell ref="BE123:BH123"/>
    <mergeCell ref="CM11:CN11"/>
    <mergeCell ref="BS11:BX11"/>
    <mergeCell ref="CG11:CH11"/>
    <mergeCell ref="CI11:CJ11"/>
    <mergeCell ref="CK11:CL11"/>
  </mergeCells>
  <pageMargins left="0.7" right="0.7" top="0.75" bottom="0.75" header="0.3" footer="0.3"/>
  <pageSetup orientation="portrait" horizontalDpi="360" verticalDpi="360"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8">
    <tabColor rgb="FFFF0000"/>
  </sheetPr>
  <dimension ref="A1:AH879"/>
  <sheetViews>
    <sheetView zoomScaleNormal="100" workbookViewId="0">
      <pane xSplit="4" ySplit="6" topLeftCell="E16" activePane="bottomRight" state="frozen"/>
      <selection pane="topRight" activeCell="E1" sqref="E1"/>
      <selection pane="bottomLeft" activeCell="A7" sqref="A7"/>
      <selection pane="bottomRight" activeCell="L22" sqref="L22"/>
    </sheetView>
  </sheetViews>
  <sheetFormatPr defaultColWidth="14.453125" defaultRowHeight="14.5" x14ac:dyDescent="0.35"/>
  <cols>
    <col min="1" max="1" width="14.54296875" customWidth="1"/>
    <col min="2" max="2" width="14.54296875" hidden="1" customWidth="1"/>
    <col min="3" max="3" width="11.81640625" hidden="1" customWidth="1"/>
    <col min="4" max="4" width="13.1796875" bestFit="1" customWidth="1"/>
    <col min="5" max="5" width="14.1796875" customWidth="1"/>
    <col min="6" max="6" width="10.81640625" customWidth="1"/>
    <col min="7" max="7" width="13.81640625" customWidth="1"/>
    <col min="8" max="8" width="11.54296875" bestFit="1" customWidth="1"/>
    <col min="9" max="9" width="11.54296875" customWidth="1"/>
    <col min="10" max="10" width="18.1796875" style="135" customWidth="1"/>
    <col min="11" max="11" width="10.54296875" style="542" customWidth="1"/>
    <col min="12" max="14" width="14.453125" customWidth="1"/>
    <col min="15" max="15" width="11" customWidth="1"/>
    <col min="16" max="16" width="13.1796875" customWidth="1"/>
    <col min="17" max="17" width="16.453125" bestFit="1" customWidth="1"/>
    <col min="18" max="20" width="15.54296875" customWidth="1"/>
    <col min="21" max="21" width="15.1796875" customWidth="1"/>
    <col min="22" max="23" width="17.54296875" customWidth="1"/>
    <col min="24" max="24" width="15.453125" customWidth="1"/>
    <col min="25" max="25" width="13.453125" customWidth="1"/>
    <col min="26" max="26" width="11.1796875" bestFit="1" customWidth="1"/>
    <col min="27" max="27" width="9.54296875" bestFit="1" customWidth="1"/>
    <col min="28" max="28" width="13.08984375" bestFit="1" customWidth="1"/>
    <col min="31" max="32" width="14.453125" style="135"/>
    <col min="33" max="33" width="14.453125" style="788"/>
  </cols>
  <sheetData>
    <row r="1" spans="1:34" ht="14.25" customHeight="1" x14ac:dyDescent="0.35">
      <c r="A1" s="528" t="s">
        <v>309</v>
      </c>
      <c r="B1" s="528"/>
      <c r="C1" s="528"/>
      <c r="D1" s="529"/>
      <c r="E1" s="529"/>
      <c r="K1" s="541"/>
      <c r="O1" s="529"/>
      <c r="AG1" s="787"/>
    </row>
    <row r="2" spans="1:34" ht="14.25" customHeight="1" x14ac:dyDescent="0.35">
      <c r="A2" s="528" t="s">
        <v>240</v>
      </c>
      <c r="B2" s="528"/>
      <c r="C2" s="528"/>
      <c r="D2" s="529"/>
      <c r="E2" s="529"/>
      <c r="K2" s="541"/>
      <c r="O2" s="529"/>
    </row>
    <row r="3" spans="1:34" ht="14.25" customHeight="1" x14ac:dyDescent="0.35">
      <c r="A3" s="528" t="s">
        <v>241</v>
      </c>
      <c r="B3" s="528"/>
      <c r="C3" s="528"/>
      <c r="D3" s="529"/>
      <c r="E3" s="529"/>
      <c r="K3" s="541"/>
      <c r="O3" s="529"/>
    </row>
    <row r="4" spans="1:34" ht="14.25" customHeight="1" x14ac:dyDescent="0.35">
      <c r="A4" s="791" t="s">
        <v>344</v>
      </c>
      <c r="B4" s="528"/>
      <c r="C4" s="528"/>
      <c r="D4" s="529"/>
      <c r="E4" s="529"/>
      <c r="G4" s="530">
        <v>100000</v>
      </c>
      <c r="H4" s="531"/>
      <c r="I4" s="531"/>
      <c r="K4" s="543"/>
      <c r="L4" s="544"/>
      <c r="M4" s="544"/>
      <c r="N4" s="544"/>
      <c r="O4" s="545"/>
      <c r="R4" s="532" t="s">
        <v>242</v>
      </c>
    </row>
    <row r="5" spans="1:34" s="253" customFormat="1" ht="14.25" customHeight="1" thickBot="1" x14ac:dyDescent="0.4">
      <c r="A5" s="619"/>
      <c r="B5" s="619"/>
      <c r="C5" s="619"/>
      <c r="D5" s="619"/>
      <c r="E5" s="619"/>
      <c r="F5" s="619"/>
      <c r="G5" s="533">
        <v>90000</v>
      </c>
      <c r="H5" s="534">
        <v>0.1</v>
      </c>
      <c r="I5" s="534"/>
      <c r="J5" s="619"/>
      <c r="K5" s="792">
        <v>0.1</v>
      </c>
      <c r="L5" s="532"/>
      <c r="M5" s="793">
        <v>10000</v>
      </c>
      <c r="N5" s="532"/>
      <c r="O5" s="770">
        <v>17</v>
      </c>
      <c r="P5" s="619"/>
      <c r="Q5" s="619"/>
      <c r="R5" s="535">
        <v>8.9882826999999992E-3</v>
      </c>
      <c r="S5" s="565">
        <v>1.1610847921862406E-2</v>
      </c>
      <c r="T5" s="565">
        <v>1.9801198540349535E-2</v>
      </c>
      <c r="U5" s="619"/>
      <c r="V5" s="619"/>
      <c r="W5" s="619"/>
      <c r="X5" s="619"/>
      <c r="Y5" s="619"/>
      <c r="Z5" s="619"/>
      <c r="AA5" s="619"/>
      <c r="AB5" s="619"/>
      <c r="AE5" s="772"/>
      <c r="AF5" s="772"/>
      <c r="AG5" s="788"/>
    </row>
    <row r="6" spans="1:34" ht="31" customHeight="1" thickBot="1" x14ac:dyDescent="0.4">
      <c r="A6" s="557" t="s">
        <v>243</v>
      </c>
      <c r="B6" s="558" t="s">
        <v>244</v>
      </c>
      <c r="C6" s="558" t="s">
        <v>245</v>
      </c>
      <c r="D6" s="559" t="s">
        <v>246</v>
      </c>
      <c r="E6" s="559" t="s">
        <v>259</v>
      </c>
      <c r="F6" s="559" t="s">
        <v>247</v>
      </c>
      <c r="G6" s="560" t="s">
        <v>248</v>
      </c>
      <c r="H6" s="559" t="s">
        <v>249</v>
      </c>
      <c r="I6" s="559" t="s">
        <v>277</v>
      </c>
      <c r="J6" s="559" t="s">
        <v>150</v>
      </c>
      <c r="K6" s="561" t="s">
        <v>250</v>
      </c>
      <c r="L6" s="559" t="s">
        <v>251</v>
      </c>
      <c r="M6" s="559" t="s">
        <v>252</v>
      </c>
      <c r="N6" s="559" t="s">
        <v>253</v>
      </c>
      <c r="O6" s="560" t="s">
        <v>254</v>
      </c>
      <c r="P6" s="559" t="s">
        <v>255</v>
      </c>
      <c r="Q6" s="559" t="s">
        <v>256</v>
      </c>
      <c r="R6" s="566" t="s">
        <v>297</v>
      </c>
      <c r="S6" s="566" t="s">
        <v>298</v>
      </c>
      <c r="T6" s="567" t="s">
        <v>299</v>
      </c>
      <c r="V6" s="1100" t="s">
        <v>300</v>
      </c>
      <c r="W6" s="1101"/>
      <c r="X6" s="1102"/>
      <c r="Y6" s="1102"/>
      <c r="Z6" s="1102"/>
      <c r="AA6" s="1103"/>
      <c r="AB6" s="795" t="s">
        <v>343</v>
      </c>
      <c r="AC6" s="620" t="s">
        <v>261</v>
      </c>
      <c r="AE6" s="620" t="s">
        <v>332</v>
      </c>
      <c r="AF6" s="785" t="s">
        <v>331</v>
      </c>
    </row>
    <row r="7" spans="1:34" ht="14.25" customHeight="1" x14ac:dyDescent="0.35">
      <c r="A7" s="571" t="s">
        <v>276</v>
      </c>
      <c r="B7" s="572">
        <f>G7/F7</f>
        <v>48148.148148148146</v>
      </c>
      <c r="C7" s="573"/>
      <c r="D7" s="574" t="s">
        <v>282</v>
      </c>
      <c r="E7" s="575" t="s">
        <v>131</v>
      </c>
      <c r="F7" s="576">
        <v>13.5</v>
      </c>
      <c r="G7" s="576">
        <v>650000</v>
      </c>
      <c r="H7" s="562">
        <f>G7*0.1</f>
        <v>65000</v>
      </c>
      <c r="I7" s="562">
        <f>G7*0.12</f>
        <v>78000</v>
      </c>
      <c r="J7" s="562">
        <f>SUM(G7:I7)</f>
        <v>793000</v>
      </c>
      <c r="K7" s="577">
        <f>K$5</f>
        <v>0.1</v>
      </c>
      <c r="L7" s="562">
        <f>J7*K7</f>
        <v>79300</v>
      </c>
      <c r="M7" s="562">
        <f>M$5</f>
        <v>10000</v>
      </c>
      <c r="N7" s="562">
        <f>L7-M7</f>
        <v>69300</v>
      </c>
      <c r="O7" s="570">
        <f>O$5</f>
        <v>17</v>
      </c>
      <c r="P7" s="562">
        <f>N7/O7</f>
        <v>4076.4705882352941</v>
      </c>
      <c r="Q7" s="562">
        <f>J7*(100%-K7)</f>
        <v>713700</v>
      </c>
      <c r="R7" s="578">
        <f>Q7*$R$5</f>
        <v>6414.9373629899992</v>
      </c>
      <c r="S7" s="578">
        <f>Q7*$S$5</f>
        <v>8286.6621618331992</v>
      </c>
      <c r="T7" s="578">
        <f>Q7*$T$5</f>
        <v>14132.115398247463</v>
      </c>
      <c r="V7" s="580" t="s">
        <v>253</v>
      </c>
      <c r="W7" s="608"/>
      <c r="X7" s="581">
        <f>N7</f>
        <v>69300</v>
      </c>
      <c r="Y7" s="582"/>
      <c r="Z7" s="582"/>
      <c r="AA7" s="583"/>
      <c r="AB7" s="794"/>
      <c r="AC7" s="771" t="s">
        <v>263</v>
      </c>
      <c r="AE7" s="617">
        <v>1</v>
      </c>
      <c r="AF7" s="786">
        <v>13.5</v>
      </c>
      <c r="AG7" s="789">
        <v>0</v>
      </c>
    </row>
    <row r="8" spans="1:34" ht="14.25" customHeight="1" x14ac:dyDescent="0.35">
      <c r="A8" s="571" t="s">
        <v>276</v>
      </c>
      <c r="B8" s="572">
        <f t="shared" ref="B8:B28" si="0">G8/F8</f>
        <v>48148.148148148146</v>
      </c>
      <c r="C8" s="573"/>
      <c r="D8" s="574" t="s">
        <v>283</v>
      </c>
      <c r="E8" s="575" t="s">
        <v>131</v>
      </c>
      <c r="F8" s="576">
        <v>13.5</v>
      </c>
      <c r="G8" s="576">
        <v>650000</v>
      </c>
      <c r="H8" s="562">
        <f t="shared" ref="H8:H27" si="1">G8*0.1</f>
        <v>65000</v>
      </c>
      <c r="I8" s="562">
        <f t="shared" ref="I8:I27" si="2">G8*0.12</f>
        <v>78000</v>
      </c>
      <c r="J8" s="562">
        <f t="shared" ref="J8:J27" si="3">SUM(G8:I8)</f>
        <v>793000</v>
      </c>
      <c r="K8" s="577">
        <f>K$5</f>
        <v>0.1</v>
      </c>
      <c r="L8" s="562">
        <f t="shared" ref="L8:L27" si="4">J8*K8</f>
        <v>79300</v>
      </c>
      <c r="M8" s="562">
        <f>M$5</f>
        <v>10000</v>
      </c>
      <c r="N8" s="562">
        <f t="shared" ref="N8:N27" si="5">L8-M8</f>
        <v>69300</v>
      </c>
      <c r="O8" s="570">
        <f>O$5</f>
        <v>17</v>
      </c>
      <c r="P8" s="562">
        <f t="shared" ref="P8:P27" si="6">N8/O8</f>
        <v>4076.4705882352941</v>
      </c>
      <c r="Q8" s="562">
        <f t="shared" ref="Q8:Q27" si="7">J8*(100%-K8)</f>
        <v>713700</v>
      </c>
      <c r="R8" s="578">
        <f t="shared" ref="R8:R28" si="8">Q8*$R$5</f>
        <v>6414.9373629899992</v>
      </c>
      <c r="S8" s="578">
        <f t="shared" ref="S8:S28" si="9">Q8*$S$5</f>
        <v>8286.6621618331992</v>
      </c>
      <c r="T8" s="578">
        <f t="shared" ref="T8:T28" si="10">Q8*$T$5</f>
        <v>14132.115398247463</v>
      </c>
      <c r="V8" s="584"/>
      <c r="W8" s="611" t="s">
        <v>308</v>
      </c>
      <c r="X8" s="585" t="s">
        <v>301</v>
      </c>
      <c r="Y8" s="585" t="s">
        <v>302</v>
      </c>
      <c r="Z8" s="585" t="s">
        <v>303</v>
      </c>
      <c r="AA8" s="586" t="s">
        <v>304</v>
      </c>
      <c r="AB8" s="794"/>
      <c r="AC8" s="617" t="s">
        <v>262</v>
      </c>
      <c r="AE8" s="617">
        <v>2</v>
      </c>
      <c r="AF8" s="786">
        <v>13.5</v>
      </c>
      <c r="AG8" s="789">
        <v>0</v>
      </c>
    </row>
    <row r="9" spans="1:34" ht="14.25" customHeight="1" x14ac:dyDescent="0.35">
      <c r="A9" s="571" t="s">
        <v>276</v>
      </c>
      <c r="B9" s="572">
        <f t="shared" si="0"/>
        <v>52000</v>
      </c>
      <c r="C9" s="573"/>
      <c r="D9" s="574" t="s">
        <v>284</v>
      </c>
      <c r="E9" s="575" t="s">
        <v>131</v>
      </c>
      <c r="F9" s="576">
        <v>12.5</v>
      </c>
      <c r="G9" s="576">
        <v>650000</v>
      </c>
      <c r="H9" s="562">
        <f t="shared" si="1"/>
        <v>65000</v>
      </c>
      <c r="I9" s="562">
        <f t="shared" si="2"/>
        <v>78000</v>
      </c>
      <c r="J9" s="562">
        <f t="shared" si="3"/>
        <v>793000</v>
      </c>
      <c r="K9" s="577">
        <f t="shared" ref="K9:K20" si="11">K$5</f>
        <v>0.1</v>
      </c>
      <c r="L9" s="562">
        <f t="shared" si="4"/>
        <v>79300</v>
      </c>
      <c r="M9" s="562">
        <f t="shared" ref="M9:M12" si="12">M$5</f>
        <v>10000</v>
      </c>
      <c r="N9" s="562">
        <f t="shared" si="5"/>
        <v>69300</v>
      </c>
      <c r="O9" s="570">
        <f t="shared" ref="O9:O20" si="13">O$5</f>
        <v>17</v>
      </c>
      <c r="P9" s="562">
        <f t="shared" si="6"/>
        <v>4076.4705882352941</v>
      </c>
      <c r="Q9" s="562">
        <f t="shared" si="7"/>
        <v>713700</v>
      </c>
      <c r="R9" s="578">
        <f t="shared" si="8"/>
        <v>6414.9373629899992</v>
      </c>
      <c r="S9" s="578">
        <f t="shared" si="9"/>
        <v>8286.6621618331992</v>
      </c>
      <c r="T9" s="578">
        <f t="shared" si="10"/>
        <v>14132.115398247463</v>
      </c>
      <c r="V9" s="584" t="s">
        <v>305</v>
      </c>
      <c r="W9" s="769" t="s">
        <v>337</v>
      </c>
      <c r="X9" s="587">
        <v>5</v>
      </c>
      <c r="Y9" s="537">
        <v>0.25</v>
      </c>
      <c r="Z9" s="536">
        <f>X7*Y9</f>
        <v>17325</v>
      </c>
      <c r="AA9" s="538">
        <f t="shared" ref="AA9:AA11" si="14">Z9/X9</f>
        <v>3465</v>
      </c>
      <c r="AB9" s="794"/>
      <c r="AC9" s="617" t="s">
        <v>262</v>
      </c>
      <c r="AE9" s="617">
        <v>3</v>
      </c>
      <c r="AF9" s="786">
        <v>12.5</v>
      </c>
      <c r="AG9" s="789">
        <v>0</v>
      </c>
    </row>
    <row r="10" spans="1:34" ht="14.25" customHeight="1" x14ac:dyDescent="0.35">
      <c r="A10" s="571" t="s">
        <v>276</v>
      </c>
      <c r="B10" s="572">
        <f t="shared" si="0"/>
        <v>52000</v>
      </c>
      <c r="C10" s="573"/>
      <c r="D10" s="574" t="s">
        <v>285</v>
      </c>
      <c r="E10" s="575" t="s">
        <v>131</v>
      </c>
      <c r="F10" s="576">
        <v>12.5</v>
      </c>
      <c r="G10" s="576">
        <v>650000</v>
      </c>
      <c r="H10" s="562">
        <f t="shared" si="1"/>
        <v>65000</v>
      </c>
      <c r="I10" s="562">
        <f t="shared" si="2"/>
        <v>78000</v>
      </c>
      <c r="J10" s="562">
        <f t="shared" si="3"/>
        <v>793000</v>
      </c>
      <c r="K10" s="577">
        <f t="shared" si="11"/>
        <v>0.1</v>
      </c>
      <c r="L10" s="562">
        <f t="shared" si="4"/>
        <v>79300</v>
      </c>
      <c r="M10" s="562">
        <f t="shared" si="12"/>
        <v>10000</v>
      </c>
      <c r="N10" s="562">
        <f t="shared" si="5"/>
        <v>69300</v>
      </c>
      <c r="O10" s="570">
        <f t="shared" si="13"/>
        <v>17</v>
      </c>
      <c r="P10" s="562">
        <f t="shared" si="6"/>
        <v>4076.4705882352941</v>
      </c>
      <c r="Q10" s="562">
        <f t="shared" si="7"/>
        <v>713700</v>
      </c>
      <c r="R10" s="578">
        <f t="shared" si="8"/>
        <v>6414.9373629899992</v>
      </c>
      <c r="S10" s="578">
        <f t="shared" si="9"/>
        <v>8286.6621618331992</v>
      </c>
      <c r="T10" s="578">
        <f t="shared" si="10"/>
        <v>14132.115398247463</v>
      </c>
      <c r="V10" s="584" t="s">
        <v>306</v>
      </c>
      <c r="W10" s="769" t="s">
        <v>338</v>
      </c>
      <c r="X10" s="587">
        <v>6</v>
      </c>
      <c r="Y10" s="537">
        <v>0.35</v>
      </c>
      <c r="Z10" s="536">
        <f>X7*Y10</f>
        <v>24255</v>
      </c>
      <c r="AA10" s="538">
        <f t="shared" si="14"/>
        <v>4042.5</v>
      </c>
      <c r="AB10" s="794"/>
      <c r="AC10" s="617" t="s">
        <v>262</v>
      </c>
      <c r="AE10" s="617">
        <v>4</v>
      </c>
      <c r="AF10" s="786">
        <v>12.5</v>
      </c>
      <c r="AG10" s="789">
        <v>0</v>
      </c>
    </row>
    <row r="11" spans="1:34" ht="14.25" customHeight="1" x14ac:dyDescent="0.35">
      <c r="A11" s="571" t="s">
        <v>276</v>
      </c>
      <c r="B11" s="572">
        <f t="shared" si="0"/>
        <v>48148.148148148146</v>
      </c>
      <c r="C11" s="573"/>
      <c r="D11" s="574" t="s">
        <v>286</v>
      </c>
      <c r="E11" s="575" t="s">
        <v>131</v>
      </c>
      <c r="F11" s="576">
        <v>13.5</v>
      </c>
      <c r="G11" s="576">
        <v>650000</v>
      </c>
      <c r="H11" s="562">
        <f t="shared" si="1"/>
        <v>65000</v>
      </c>
      <c r="I11" s="562">
        <f t="shared" si="2"/>
        <v>78000</v>
      </c>
      <c r="J11" s="562">
        <f t="shared" si="3"/>
        <v>793000</v>
      </c>
      <c r="K11" s="577">
        <f t="shared" si="11"/>
        <v>0.1</v>
      </c>
      <c r="L11" s="562">
        <f t="shared" si="4"/>
        <v>79300</v>
      </c>
      <c r="M11" s="562">
        <f t="shared" si="12"/>
        <v>10000</v>
      </c>
      <c r="N11" s="562">
        <f t="shared" si="5"/>
        <v>69300</v>
      </c>
      <c r="O11" s="570">
        <f t="shared" si="13"/>
        <v>17</v>
      </c>
      <c r="P11" s="562">
        <f t="shared" si="6"/>
        <v>4076.4705882352941</v>
      </c>
      <c r="Q11" s="562">
        <f t="shared" si="7"/>
        <v>713700</v>
      </c>
      <c r="R11" s="578">
        <f t="shared" si="8"/>
        <v>6414.9373629899992</v>
      </c>
      <c r="S11" s="578">
        <f t="shared" si="9"/>
        <v>8286.6621618331992</v>
      </c>
      <c r="T11" s="578">
        <f t="shared" si="10"/>
        <v>14132.115398247463</v>
      </c>
      <c r="V11" s="584" t="s">
        <v>307</v>
      </c>
      <c r="W11" s="769" t="s">
        <v>339</v>
      </c>
      <c r="X11" s="587">
        <v>6</v>
      </c>
      <c r="Y11" s="537">
        <v>0.4</v>
      </c>
      <c r="Z11" s="536">
        <f>X7*Y11</f>
        <v>27720</v>
      </c>
      <c r="AA11" s="538">
        <f t="shared" si="14"/>
        <v>4620</v>
      </c>
      <c r="AB11" s="794"/>
      <c r="AC11" s="617" t="s">
        <v>262</v>
      </c>
      <c r="AE11" s="617">
        <v>5</v>
      </c>
      <c r="AF11" s="786">
        <v>13.5</v>
      </c>
      <c r="AG11" s="789">
        <v>0</v>
      </c>
    </row>
    <row r="12" spans="1:34" ht="14.25" customHeight="1" thickBot="1" x14ac:dyDescent="0.4">
      <c r="A12" s="571" t="s">
        <v>276</v>
      </c>
      <c r="B12" s="572">
        <f t="shared" si="0"/>
        <v>52000</v>
      </c>
      <c r="C12" s="573"/>
      <c r="D12" s="574" t="s">
        <v>287</v>
      </c>
      <c r="E12" s="575" t="s">
        <v>131</v>
      </c>
      <c r="F12" s="576">
        <v>12.5</v>
      </c>
      <c r="G12" s="576">
        <v>650000</v>
      </c>
      <c r="H12" s="562">
        <f t="shared" si="1"/>
        <v>65000</v>
      </c>
      <c r="I12" s="562">
        <f t="shared" si="2"/>
        <v>78000</v>
      </c>
      <c r="J12" s="562">
        <f t="shared" si="3"/>
        <v>793000</v>
      </c>
      <c r="K12" s="577">
        <f t="shared" si="11"/>
        <v>0.1</v>
      </c>
      <c r="L12" s="562">
        <f t="shared" si="4"/>
        <v>79300</v>
      </c>
      <c r="M12" s="562">
        <f t="shared" si="12"/>
        <v>10000</v>
      </c>
      <c r="N12" s="562">
        <f t="shared" si="5"/>
        <v>69300</v>
      </c>
      <c r="O12" s="570">
        <f t="shared" si="13"/>
        <v>17</v>
      </c>
      <c r="P12" s="562">
        <f t="shared" si="6"/>
        <v>4076.4705882352941</v>
      </c>
      <c r="Q12" s="562">
        <f t="shared" si="7"/>
        <v>713700</v>
      </c>
      <c r="R12" s="578">
        <f t="shared" si="8"/>
        <v>6414.9373629899992</v>
      </c>
      <c r="S12" s="578">
        <f t="shared" si="9"/>
        <v>8286.6621618331992</v>
      </c>
      <c r="T12" s="578">
        <f t="shared" si="10"/>
        <v>14132.115398247463</v>
      </c>
      <c r="V12" s="588" t="s">
        <v>303</v>
      </c>
      <c r="W12" s="610"/>
      <c r="X12" s="589">
        <f>SUM(X9:X11)</f>
        <v>17</v>
      </c>
      <c r="Y12" s="590">
        <f t="shared" ref="Y12:Z12" si="15">SUM(Y9:Y11)</f>
        <v>1</v>
      </c>
      <c r="Z12" s="591">
        <f t="shared" si="15"/>
        <v>69300</v>
      </c>
      <c r="AA12" s="592"/>
      <c r="AB12" s="794"/>
      <c r="AC12" s="617" t="s">
        <v>263</v>
      </c>
      <c r="AE12" s="617">
        <v>6</v>
      </c>
      <c r="AF12" s="786">
        <v>12.5</v>
      </c>
      <c r="AG12" s="790">
        <v>-1</v>
      </c>
      <c r="AH12" s="155" t="s">
        <v>333</v>
      </c>
    </row>
    <row r="13" spans="1:34" ht="14.25" customHeight="1" thickBot="1" x14ac:dyDescent="0.4">
      <c r="A13" s="571" t="s">
        <v>276</v>
      </c>
      <c r="B13" s="572">
        <f t="shared" si="0"/>
        <v>35135.135135135133</v>
      </c>
      <c r="C13" s="573"/>
      <c r="D13" s="574" t="s">
        <v>288</v>
      </c>
      <c r="E13" s="575" t="s">
        <v>131</v>
      </c>
      <c r="F13" s="576">
        <v>18.5</v>
      </c>
      <c r="G13" s="576">
        <v>650000</v>
      </c>
      <c r="H13" s="562">
        <f t="shared" si="1"/>
        <v>65000</v>
      </c>
      <c r="I13" s="562">
        <f t="shared" si="2"/>
        <v>78000</v>
      </c>
      <c r="J13" s="562">
        <f t="shared" si="3"/>
        <v>793000</v>
      </c>
      <c r="K13" s="577">
        <f>K$5</f>
        <v>0.1</v>
      </c>
      <c r="L13" s="562">
        <f t="shared" si="4"/>
        <v>79300</v>
      </c>
      <c r="M13" s="562">
        <f>M5</f>
        <v>10000</v>
      </c>
      <c r="N13" s="562">
        <f t="shared" si="5"/>
        <v>69300</v>
      </c>
      <c r="O13" s="570">
        <f>O$5</f>
        <v>17</v>
      </c>
      <c r="P13" s="562">
        <f t="shared" si="6"/>
        <v>4076.4705882352941</v>
      </c>
      <c r="Q13" s="562">
        <f t="shared" si="7"/>
        <v>713700</v>
      </c>
      <c r="R13" s="578">
        <f t="shared" si="8"/>
        <v>6414.9373629899992</v>
      </c>
      <c r="S13" s="578">
        <f t="shared" si="9"/>
        <v>8286.6621618331992</v>
      </c>
      <c r="T13" s="578">
        <f t="shared" si="10"/>
        <v>14132.115398247463</v>
      </c>
      <c r="V13" s="593"/>
      <c r="W13" s="594"/>
      <c r="X13" s="594"/>
      <c r="Y13" s="594"/>
      <c r="Z13" s="594"/>
      <c r="AA13" s="595"/>
      <c r="AB13" s="794"/>
      <c r="AC13" s="617" t="s">
        <v>262</v>
      </c>
      <c r="AE13" s="617">
        <v>7</v>
      </c>
      <c r="AF13" s="786">
        <v>18.5</v>
      </c>
      <c r="AG13" s="790">
        <v>5</v>
      </c>
      <c r="AH13" s="155" t="s">
        <v>334</v>
      </c>
    </row>
    <row r="14" spans="1:34" ht="14.25" customHeight="1" x14ac:dyDescent="0.35">
      <c r="A14" s="571" t="s">
        <v>276</v>
      </c>
      <c r="B14" s="572">
        <f t="shared" si="0"/>
        <v>48148.148148148146</v>
      </c>
      <c r="C14" s="573"/>
      <c r="D14" s="574" t="s">
        <v>289</v>
      </c>
      <c r="E14" s="575" t="s">
        <v>131</v>
      </c>
      <c r="F14" s="576">
        <v>13.5</v>
      </c>
      <c r="G14" s="576">
        <v>650000</v>
      </c>
      <c r="H14" s="562">
        <f t="shared" si="1"/>
        <v>65000</v>
      </c>
      <c r="I14" s="562">
        <f t="shared" si="2"/>
        <v>78000</v>
      </c>
      <c r="J14" s="562">
        <f t="shared" si="3"/>
        <v>793000</v>
      </c>
      <c r="K14" s="577">
        <f t="shared" si="11"/>
        <v>0.1</v>
      </c>
      <c r="L14" s="562">
        <f t="shared" si="4"/>
        <v>79300</v>
      </c>
      <c r="M14" s="562">
        <f t="shared" ref="M14:M20" si="16">M$5</f>
        <v>10000</v>
      </c>
      <c r="N14" s="562">
        <f t="shared" si="5"/>
        <v>69300</v>
      </c>
      <c r="O14" s="570">
        <f t="shared" si="13"/>
        <v>17</v>
      </c>
      <c r="P14" s="562">
        <f t="shared" si="6"/>
        <v>4076.4705882352941</v>
      </c>
      <c r="Q14" s="562">
        <f t="shared" si="7"/>
        <v>713700</v>
      </c>
      <c r="R14" s="578">
        <f t="shared" si="8"/>
        <v>6414.9373629899992</v>
      </c>
      <c r="S14" s="578">
        <f t="shared" si="9"/>
        <v>8286.6621618331992</v>
      </c>
      <c r="T14" s="578">
        <f t="shared" si="10"/>
        <v>14132.115398247463</v>
      </c>
      <c r="V14" s="580" t="s">
        <v>253</v>
      </c>
      <c r="W14" s="608"/>
      <c r="X14" s="581">
        <f>X7</f>
        <v>69300</v>
      </c>
      <c r="Y14" s="582"/>
      <c r="Z14" s="582"/>
      <c r="AA14" s="583"/>
      <c r="AB14" s="794"/>
      <c r="AC14" s="617" t="s">
        <v>262</v>
      </c>
      <c r="AE14" s="617">
        <v>8</v>
      </c>
      <c r="AF14" s="786">
        <v>13.5</v>
      </c>
      <c r="AG14" s="789">
        <v>0</v>
      </c>
    </row>
    <row r="15" spans="1:34" ht="14.25" customHeight="1" x14ac:dyDescent="0.35">
      <c r="A15" s="571" t="s">
        <v>276</v>
      </c>
      <c r="B15" s="572">
        <f t="shared" si="0"/>
        <v>48148.148148148146</v>
      </c>
      <c r="C15" s="573"/>
      <c r="D15" s="574" t="s">
        <v>290</v>
      </c>
      <c r="E15" s="575" t="s">
        <v>131</v>
      </c>
      <c r="F15" s="576">
        <v>13.5</v>
      </c>
      <c r="G15" s="576">
        <v>650000</v>
      </c>
      <c r="H15" s="562">
        <f t="shared" si="1"/>
        <v>65000</v>
      </c>
      <c r="I15" s="562">
        <f t="shared" si="2"/>
        <v>78000</v>
      </c>
      <c r="J15" s="562">
        <f t="shared" si="3"/>
        <v>793000</v>
      </c>
      <c r="K15" s="577">
        <f t="shared" si="11"/>
        <v>0.1</v>
      </c>
      <c r="L15" s="562">
        <f t="shared" si="4"/>
        <v>79300</v>
      </c>
      <c r="M15" s="562">
        <f t="shared" si="16"/>
        <v>10000</v>
      </c>
      <c r="N15" s="562">
        <f t="shared" si="5"/>
        <v>69300</v>
      </c>
      <c r="O15" s="570">
        <f t="shared" si="13"/>
        <v>17</v>
      </c>
      <c r="P15" s="562">
        <f t="shared" si="6"/>
        <v>4076.4705882352941</v>
      </c>
      <c r="Q15" s="562">
        <f t="shared" si="7"/>
        <v>713700</v>
      </c>
      <c r="R15" s="578">
        <f t="shared" si="8"/>
        <v>6414.9373629899992</v>
      </c>
      <c r="S15" s="578">
        <f t="shared" si="9"/>
        <v>8286.6621618331992</v>
      </c>
      <c r="T15" s="578">
        <f t="shared" si="10"/>
        <v>14132.115398247463</v>
      </c>
      <c r="V15" s="584"/>
      <c r="W15" s="609"/>
      <c r="X15" s="585" t="s">
        <v>301</v>
      </c>
      <c r="Y15" s="585" t="s">
        <v>302</v>
      </c>
      <c r="Z15" s="585" t="s">
        <v>303</v>
      </c>
      <c r="AA15" s="586" t="s">
        <v>304</v>
      </c>
      <c r="AB15" s="794"/>
      <c r="AC15" s="617" t="s">
        <v>262</v>
      </c>
      <c r="AE15" s="617">
        <v>9</v>
      </c>
      <c r="AF15" s="786">
        <v>13.5</v>
      </c>
      <c r="AG15" s="789">
        <v>0</v>
      </c>
    </row>
    <row r="16" spans="1:34" ht="14.25" customHeight="1" x14ac:dyDescent="0.35">
      <c r="A16" s="571" t="s">
        <v>276</v>
      </c>
      <c r="B16" s="572">
        <f t="shared" si="0"/>
        <v>48148.148148148146</v>
      </c>
      <c r="C16" s="573"/>
      <c r="D16" s="574" t="s">
        <v>291</v>
      </c>
      <c r="E16" s="575" t="s">
        <v>131</v>
      </c>
      <c r="F16" s="576">
        <v>13.5</v>
      </c>
      <c r="G16" s="576">
        <v>650000</v>
      </c>
      <c r="H16" s="562">
        <f t="shared" si="1"/>
        <v>65000</v>
      </c>
      <c r="I16" s="562">
        <f t="shared" si="2"/>
        <v>78000</v>
      </c>
      <c r="J16" s="562">
        <f t="shared" si="3"/>
        <v>793000</v>
      </c>
      <c r="K16" s="577">
        <f t="shared" si="11"/>
        <v>0.1</v>
      </c>
      <c r="L16" s="562">
        <f t="shared" si="4"/>
        <v>79300</v>
      </c>
      <c r="M16" s="562">
        <f t="shared" si="16"/>
        <v>10000</v>
      </c>
      <c r="N16" s="562">
        <f t="shared" si="5"/>
        <v>69300</v>
      </c>
      <c r="O16" s="570">
        <f t="shared" si="13"/>
        <v>17</v>
      </c>
      <c r="P16" s="562">
        <f t="shared" si="6"/>
        <v>4076.4705882352941</v>
      </c>
      <c r="Q16" s="562">
        <f t="shared" si="7"/>
        <v>713700</v>
      </c>
      <c r="R16" s="578">
        <f t="shared" si="8"/>
        <v>6414.9373629899992</v>
      </c>
      <c r="S16" s="578">
        <f t="shared" si="9"/>
        <v>8286.6621618331992</v>
      </c>
      <c r="T16" s="578">
        <f t="shared" si="10"/>
        <v>14132.115398247463</v>
      </c>
      <c r="V16" s="584" t="s">
        <v>305</v>
      </c>
      <c r="W16" s="609"/>
      <c r="X16" s="587"/>
      <c r="Y16" s="537">
        <v>0.25</v>
      </c>
      <c r="Z16" s="536">
        <f>X14*Y16</f>
        <v>17325</v>
      </c>
      <c r="AA16" s="538" t="e">
        <f t="shared" ref="AA16:AA18" si="17">Z16/X16</f>
        <v>#DIV/0!</v>
      </c>
      <c r="AB16" s="794"/>
      <c r="AC16" s="617" t="s">
        <v>262</v>
      </c>
      <c r="AE16" s="617">
        <v>10</v>
      </c>
      <c r="AF16" s="786">
        <v>13.5</v>
      </c>
      <c r="AG16" s="789">
        <v>0</v>
      </c>
    </row>
    <row r="17" spans="1:33" ht="14.25" customHeight="1" x14ac:dyDescent="0.35">
      <c r="A17" s="571" t="s">
        <v>276</v>
      </c>
      <c r="B17" s="572">
        <f t="shared" si="0"/>
        <v>48148.148148148146</v>
      </c>
      <c r="C17" s="573"/>
      <c r="D17" s="574" t="s">
        <v>292</v>
      </c>
      <c r="E17" s="575" t="s">
        <v>131</v>
      </c>
      <c r="F17" s="576">
        <v>13.5</v>
      </c>
      <c r="G17" s="576">
        <v>650000</v>
      </c>
      <c r="H17" s="562">
        <f t="shared" si="1"/>
        <v>65000</v>
      </c>
      <c r="I17" s="562">
        <f t="shared" si="2"/>
        <v>78000</v>
      </c>
      <c r="J17" s="562">
        <f t="shared" si="3"/>
        <v>793000</v>
      </c>
      <c r="K17" s="577">
        <f t="shared" si="11"/>
        <v>0.1</v>
      </c>
      <c r="L17" s="562">
        <f t="shared" si="4"/>
        <v>79300</v>
      </c>
      <c r="M17" s="562">
        <f t="shared" si="16"/>
        <v>10000</v>
      </c>
      <c r="N17" s="562">
        <f t="shared" si="5"/>
        <v>69300</v>
      </c>
      <c r="O17" s="570">
        <f t="shared" si="13"/>
        <v>17</v>
      </c>
      <c r="P17" s="562">
        <f t="shared" si="6"/>
        <v>4076.4705882352941</v>
      </c>
      <c r="Q17" s="562">
        <f t="shared" si="7"/>
        <v>713700</v>
      </c>
      <c r="R17" s="578">
        <f t="shared" si="8"/>
        <v>6414.9373629899992</v>
      </c>
      <c r="S17" s="578">
        <f t="shared" si="9"/>
        <v>8286.6621618331992</v>
      </c>
      <c r="T17" s="578">
        <f t="shared" si="10"/>
        <v>14132.115398247463</v>
      </c>
      <c r="V17" s="584" t="s">
        <v>306</v>
      </c>
      <c r="W17" s="609"/>
      <c r="X17" s="587"/>
      <c r="Y17" s="537">
        <v>0.35</v>
      </c>
      <c r="Z17" s="536">
        <f>X14*Y17</f>
        <v>24255</v>
      </c>
      <c r="AA17" s="538" t="e">
        <f t="shared" si="17"/>
        <v>#DIV/0!</v>
      </c>
      <c r="AB17" s="794"/>
      <c r="AC17" s="617" t="s">
        <v>262</v>
      </c>
      <c r="AE17" s="617">
        <v>11</v>
      </c>
      <c r="AF17" s="786">
        <v>13.5</v>
      </c>
      <c r="AG17" s="789">
        <v>0</v>
      </c>
    </row>
    <row r="18" spans="1:33" ht="14.25" customHeight="1" x14ac:dyDescent="0.35">
      <c r="A18" s="571" t="s">
        <v>276</v>
      </c>
      <c r="B18" s="572">
        <f t="shared" si="0"/>
        <v>48148.148148148146</v>
      </c>
      <c r="C18" s="573"/>
      <c r="D18" s="574" t="s">
        <v>293</v>
      </c>
      <c r="E18" s="575" t="s">
        <v>131</v>
      </c>
      <c r="F18" s="576">
        <v>13.5</v>
      </c>
      <c r="G18" s="576">
        <v>650000</v>
      </c>
      <c r="H18" s="562">
        <f t="shared" si="1"/>
        <v>65000</v>
      </c>
      <c r="I18" s="562">
        <f t="shared" si="2"/>
        <v>78000</v>
      </c>
      <c r="J18" s="562">
        <f t="shared" si="3"/>
        <v>793000</v>
      </c>
      <c r="K18" s="577">
        <f t="shared" si="11"/>
        <v>0.1</v>
      </c>
      <c r="L18" s="562">
        <f t="shared" si="4"/>
        <v>79300</v>
      </c>
      <c r="M18" s="562">
        <f t="shared" si="16"/>
        <v>10000</v>
      </c>
      <c r="N18" s="562">
        <f t="shared" si="5"/>
        <v>69300</v>
      </c>
      <c r="O18" s="570">
        <f t="shared" si="13"/>
        <v>17</v>
      </c>
      <c r="P18" s="562">
        <f t="shared" si="6"/>
        <v>4076.4705882352941</v>
      </c>
      <c r="Q18" s="562">
        <f t="shared" si="7"/>
        <v>713700</v>
      </c>
      <c r="R18" s="578">
        <f t="shared" si="8"/>
        <v>6414.9373629899992</v>
      </c>
      <c r="S18" s="578">
        <f t="shared" si="9"/>
        <v>8286.6621618331992</v>
      </c>
      <c r="T18" s="578">
        <f t="shared" si="10"/>
        <v>14132.115398247463</v>
      </c>
      <c r="V18" s="584" t="s">
        <v>307</v>
      </c>
      <c r="W18" s="609"/>
      <c r="X18" s="587"/>
      <c r="Y18" s="537">
        <v>0.4</v>
      </c>
      <c r="Z18" s="536">
        <f>X14*Y18</f>
        <v>27720</v>
      </c>
      <c r="AA18" s="538" t="e">
        <f t="shared" si="17"/>
        <v>#DIV/0!</v>
      </c>
      <c r="AB18" s="794"/>
      <c r="AC18" s="617" t="s">
        <v>262</v>
      </c>
      <c r="AE18" s="617">
        <v>12</v>
      </c>
      <c r="AF18" s="786">
        <v>13.5</v>
      </c>
      <c r="AG18" s="789">
        <v>0</v>
      </c>
    </row>
    <row r="19" spans="1:33" ht="14.25" customHeight="1" thickBot="1" x14ac:dyDescent="0.4">
      <c r="A19" s="571" t="s">
        <v>276</v>
      </c>
      <c r="B19" s="572">
        <f t="shared" si="0"/>
        <v>48148.148148148146</v>
      </c>
      <c r="C19" s="573"/>
      <c r="D19" s="574" t="s">
        <v>294</v>
      </c>
      <c r="E19" s="575" t="s">
        <v>131</v>
      </c>
      <c r="F19" s="576">
        <v>13.5</v>
      </c>
      <c r="G19" s="576">
        <v>650000</v>
      </c>
      <c r="H19" s="562">
        <f t="shared" si="1"/>
        <v>65000</v>
      </c>
      <c r="I19" s="562">
        <f t="shared" si="2"/>
        <v>78000</v>
      </c>
      <c r="J19" s="562">
        <f t="shared" si="3"/>
        <v>793000</v>
      </c>
      <c r="K19" s="577">
        <f t="shared" si="11"/>
        <v>0.1</v>
      </c>
      <c r="L19" s="562">
        <f t="shared" si="4"/>
        <v>79300</v>
      </c>
      <c r="M19" s="562">
        <f t="shared" si="16"/>
        <v>10000</v>
      </c>
      <c r="N19" s="562">
        <f t="shared" si="5"/>
        <v>69300</v>
      </c>
      <c r="O19" s="570">
        <f t="shared" si="13"/>
        <v>17</v>
      </c>
      <c r="P19" s="562">
        <f t="shared" si="6"/>
        <v>4076.4705882352941</v>
      </c>
      <c r="Q19" s="562">
        <f t="shared" si="7"/>
        <v>713700</v>
      </c>
      <c r="R19" s="578">
        <f t="shared" si="8"/>
        <v>6414.9373629899992</v>
      </c>
      <c r="S19" s="578">
        <f t="shared" si="9"/>
        <v>8286.6621618331992</v>
      </c>
      <c r="T19" s="578">
        <f t="shared" si="10"/>
        <v>14132.115398247463</v>
      </c>
      <c r="V19" s="588" t="s">
        <v>303</v>
      </c>
      <c r="W19" s="610"/>
      <c r="X19" s="589">
        <f t="shared" ref="X19" si="18">SUM(X16:X18)</f>
        <v>0</v>
      </c>
      <c r="Y19" s="590">
        <f t="shared" ref="Y19" si="19">SUM(Y16:Y18)</f>
        <v>1</v>
      </c>
      <c r="Z19" s="591">
        <f>SUM(Z16:Z18)</f>
        <v>69300</v>
      </c>
      <c r="AA19" s="592"/>
      <c r="AB19" s="794"/>
      <c r="AC19" s="617" t="s">
        <v>262</v>
      </c>
      <c r="AE19" s="617">
        <v>13</v>
      </c>
      <c r="AF19" s="786">
        <v>13.5</v>
      </c>
      <c r="AG19" s="789">
        <v>0</v>
      </c>
    </row>
    <row r="20" spans="1:33" ht="14.25" customHeight="1" thickBot="1" x14ac:dyDescent="0.4">
      <c r="A20" s="571" t="s">
        <v>276</v>
      </c>
      <c r="B20" s="572">
        <f t="shared" si="0"/>
        <v>48148.148148148146</v>
      </c>
      <c r="C20" s="573"/>
      <c r="D20" s="574" t="s">
        <v>295</v>
      </c>
      <c r="E20" s="575" t="s">
        <v>131</v>
      </c>
      <c r="F20" s="576">
        <v>13.5</v>
      </c>
      <c r="G20" s="576">
        <v>650000</v>
      </c>
      <c r="H20" s="562">
        <f t="shared" si="1"/>
        <v>65000</v>
      </c>
      <c r="I20" s="562">
        <f t="shared" si="2"/>
        <v>78000</v>
      </c>
      <c r="J20" s="562">
        <f t="shared" si="3"/>
        <v>793000</v>
      </c>
      <c r="K20" s="577">
        <f t="shared" si="11"/>
        <v>0.1</v>
      </c>
      <c r="L20" s="562">
        <f t="shared" si="4"/>
        <v>79300</v>
      </c>
      <c r="M20" s="562">
        <f t="shared" si="16"/>
        <v>10000</v>
      </c>
      <c r="N20" s="562">
        <f t="shared" si="5"/>
        <v>69300</v>
      </c>
      <c r="O20" s="570">
        <f t="shared" si="13"/>
        <v>17</v>
      </c>
      <c r="P20" s="562">
        <f t="shared" si="6"/>
        <v>4076.4705882352941</v>
      </c>
      <c r="Q20" s="562">
        <f t="shared" si="7"/>
        <v>713700</v>
      </c>
      <c r="R20" s="578">
        <f t="shared" si="8"/>
        <v>6414.9373629899992</v>
      </c>
      <c r="S20" s="578">
        <f t="shared" si="9"/>
        <v>8286.6621618331992</v>
      </c>
      <c r="T20" s="578">
        <f t="shared" si="10"/>
        <v>14132.115398247463</v>
      </c>
      <c r="V20" s="596"/>
      <c r="W20" s="597"/>
      <c r="X20" s="597"/>
      <c r="Y20" s="597"/>
      <c r="Z20" s="597"/>
      <c r="AA20" s="598"/>
      <c r="AB20" s="794"/>
      <c r="AC20" s="771" t="s">
        <v>263</v>
      </c>
      <c r="AE20" s="617">
        <v>14</v>
      </c>
      <c r="AF20" s="786">
        <v>13.5</v>
      </c>
      <c r="AG20" s="789">
        <v>0</v>
      </c>
    </row>
    <row r="21" spans="1:33" ht="14.25" customHeight="1" x14ac:dyDescent="0.35">
      <c r="A21" s="600" t="s">
        <v>276</v>
      </c>
      <c r="B21" s="601" t="e">
        <f t="shared" si="0"/>
        <v>#DIV/0!</v>
      </c>
      <c r="C21" s="602"/>
      <c r="D21" s="603"/>
      <c r="E21" s="604" t="s">
        <v>131</v>
      </c>
      <c r="F21" s="605"/>
      <c r="G21" s="605"/>
      <c r="H21" s="569"/>
      <c r="I21" s="569"/>
      <c r="J21" s="569"/>
      <c r="K21" s="606"/>
      <c r="L21" s="569"/>
      <c r="M21" s="569"/>
      <c r="N21" s="569"/>
      <c r="O21" s="568"/>
      <c r="P21" s="569"/>
      <c r="Q21" s="569"/>
      <c r="R21" s="607"/>
      <c r="S21" s="607"/>
      <c r="T21" s="607"/>
      <c r="W21" s="622" t="s">
        <v>310</v>
      </c>
      <c r="AB21" s="794"/>
      <c r="AC21" s="621" t="s">
        <v>296</v>
      </c>
      <c r="AE21" s="617"/>
      <c r="AF21" s="786"/>
      <c r="AG21" s="789"/>
    </row>
    <row r="22" spans="1:33" ht="14.25" customHeight="1" x14ac:dyDescent="0.35">
      <c r="A22" s="600" t="s">
        <v>276</v>
      </c>
      <c r="B22" s="601" t="e">
        <f t="shared" si="0"/>
        <v>#DIV/0!</v>
      </c>
      <c r="C22" s="602"/>
      <c r="D22" s="603"/>
      <c r="E22" s="604" t="s">
        <v>131</v>
      </c>
      <c r="F22" s="605"/>
      <c r="G22" s="605"/>
      <c r="H22" s="569"/>
      <c r="I22" s="569"/>
      <c r="J22" s="569"/>
      <c r="K22" s="606"/>
      <c r="L22" s="569"/>
      <c r="M22" s="569"/>
      <c r="N22" s="569"/>
      <c r="O22" s="568"/>
      <c r="P22" s="569"/>
      <c r="Q22" s="569"/>
      <c r="R22" s="607"/>
      <c r="S22" s="607"/>
      <c r="T22" s="607"/>
      <c r="V22" t="s">
        <v>314</v>
      </c>
      <c r="W22" s="796" t="s">
        <v>340</v>
      </c>
      <c r="AB22" s="794"/>
      <c r="AC22" s="621" t="s">
        <v>296</v>
      </c>
      <c r="AE22" s="617"/>
      <c r="AF22" s="786"/>
      <c r="AG22" s="789"/>
    </row>
    <row r="23" spans="1:33" ht="14.25" customHeight="1" x14ac:dyDescent="0.35">
      <c r="A23" s="600" t="s">
        <v>276</v>
      </c>
      <c r="B23" s="601" t="e">
        <f t="shared" si="0"/>
        <v>#DIV/0!</v>
      </c>
      <c r="C23" s="602"/>
      <c r="D23" s="603"/>
      <c r="E23" s="604" t="s">
        <v>131</v>
      </c>
      <c r="F23" s="605"/>
      <c r="G23" s="605"/>
      <c r="H23" s="569"/>
      <c r="I23" s="569"/>
      <c r="J23" s="569"/>
      <c r="K23" s="606"/>
      <c r="L23" s="569"/>
      <c r="M23" s="569"/>
      <c r="N23" s="569"/>
      <c r="O23" s="568"/>
      <c r="P23" s="569"/>
      <c r="Q23" s="569"/>
      <c r="R23" s="607"/>
      <c r="S23" s="607"/>
      <c r="T23" s="607"/>
      <c r="AB23" s="794"/>
      <c r="AC23" s="621" t="s">
        <v>296</v>
      </c>
      <c r="AE23" s="617"/>
      <c r="AF23" s="786"/>
      <c r="AG23" s="789"/>
    </row>
    <row r="24" spans="1:33" ht="14.25" customHeight="1" x14ac:dyDescent="0.35">
      <c r="A24" s="571" t="s">
        <v>281</v>
      </c>
      <c r="B24" s="572">
        <f t="shared" si="0"/>
        <v>48148.148148148146</v>
      </c>
      <c r="C24" s="579"/>
      <c r="D24" s="574" t="s">
        <v>323</v>
      </c>
      <c r="E24" s="575" t="s">
        <v>131</v>
      </c>
      <c r="F24" s="576">
        <v>13.5</v>
      </c>
      <c r="G24" s="576">
        <v>650000</v>
      </c>
      <c r="H24" s="562">
        <f t="shared" si="1"/>
        <v>65000</v>
      </c>
      <c r="I24" s="562">
        <f t="shared" si="2"/>
        <v>78000</v>
      </c>
      <c r="J24" s="562">
        <f t="shared" si="3"/>
        <v>793000</v>
      </c>
      <c r="K24" s="577">
        <f>K5</f>
        <v>0.1</v>
      </c>
      <c r="L24" s="562">
        <f t="shared" si="4"/>
        <v>79300</v>
      </c>
      <c r="M24" s="562">
        <f>M5</f>
        <v>10000</v>
      </c>
      <c r="N24" s="562">
        <f t="shared" si="5"/>
        <v>69300</v>
      </c>
      <c r="O24" s="570">
        <f>O$5</f>
        <v>17</v>
      </c>
      <c r="P24" s="562">
        <f t="shared" si="6"/>
        <v>4076.4705882352941</v>
      </c>
      <c r="Q24" s="562">
        <f t="shared" si="7"/>
        <v>713700</v>
      </c>
      <c r="R24" s="578">
        <f t="shared" si="8"/>
        <v>6414.9373629899992</v>
      </c>
      <c r="S24" s="578">
        <f t="shared" si="9"/>
        <v>8286.6621618331992</v>
      </c>
      <c r="T24" s="578">
        <f t="shared" si="10"/>
        <v>14132.115398247463</v>
      </c>
      <c r="V24" s="207" t="s">
        <v>311</v>
      </c>
      <c r="W24" s="623" t="s">
        <v>345</v>
      </c>
      <c r="AB24" s="794"/>
      <c r="AC24" s="617" t="s">
        <v>328</v>
      </c>
      <c r="AE24" s="617">
        <v>15</v>
      </c>
      <c r="AF24" s="786">
        <v>13.5</v>
      </c>
      <c r="AG24" s="789">
        <v>0</v>
      </c>
    </row>
    <row r="25" spans="1:33" ht="14.25" customHeight="1" x14ac:dyDescent="0.35">
      <c r="A25" s="571" t="s">
        <v>281</v>
      </c>
      <c r="B25" s="572">
        <f t="shared" si="0"/>
        <v>48148.148148148146</v>
      </c>
      <c r="C25" s="579"/>
      <c r="D25" s="574" t="s">
        <v>324</v>
      </c>
      <c r="E25" s="575" t="s">
        <v>131</v>
      </c>
      <c r="F25" s="576">
        <v>13.5</v>
      </c>
      <c r="G25" s="576">
        <v>650000</v>
      </c>
      <c r="H25" s="562">
        <f t="shared" si="1"/>
        <v>65000</v>
      </c>
      <c r="I25" s="562">
        <f t="shared" si="2"/>
        <v>78000</v>
      </c>
      <c r="J25" s="562">
        <f t="shared" si="3"/>
        <v>793000</v>
      </c>
      <c r="K25" s="577">
        <f>K$5</f>
        <v>0.1</v>
      </c>
      <c r="L25" s="562">
        <f t="shared" si="4"/>
        <v>79300</v>
      </c>
      <c r="M25" s="562">
        <f>M$5</f>
        <v>10000</v>
      </c>
      <c r="N25" s="562">
        <f t="shared" si="5"/>
        <v>69300</v>
      </c>
      <c r="O25" s="570">
        <f>O$5</f>
        <v>17</v>
      </c>
      <c r="P25" s="562">
        <f t="shared" si="6"/>
        <v>4076.4705882352941</v>
      </c>
      <c r="Q25" s="562">
        <f t="shared" si="7"/>
        <v>713700</v>
      </c>
      <c r="R25" s="578">
        <f t="shared" si="8"/>
        <v>6414.9373629899992</v>
      </c>
      <c r="S25" s="578">
        <f t="shared" si="9"/>
        <v>8286.6621618331992</v>
      </c>
      <c r="T25" s="578">
        <f t="shared" si="10"/>
        <v>14132.115398247463</v>
      </c>
      <c r="V25" s="207" t="s">
        <v>312</v>
      </c>
      <c r="W25" s="797" t="s">
        <v>335</v>
      </c>
      <c r="AB25" s="794"/>
      <c r="AC25" s="617" t="s">
        <v>328</v>
      </c>
      <c r="AE25" s="617">
        <v>16</v>
      </c>
      <c r="AF25" s="786">
        <v>13.5</v>
      </c>
      <c r="AG25" s="789">
        <v>0</v>
      </c>
    </row>
    <row r="26" spans="1:33" ht="14.25" customHeight="1" x14ac:dyDescent="0.35">
      <c r="A26" s="571" t="s">
        <v>281</v>
      </c>
      <c r="B26" s="572">
        <f t="shared" si="0"/>
        <v>48148.148148148146</v>
      </c>
      <c r="C26" s="579"/>
      <c r="D26" s="574" t="s">
        <v>325</v>
      </c>
      <c r="E26" s="575" t="s">
        <v>131</v>
      </c>
      <c r="F26" s="576">
        <v>13.5</v>
      </c>
      <c r="G26" s="576">
        <v>650000</v>
      </c>
      <c r="H26" s="562">
        <f t="shared" si="1"/>
        <v>65000</v>
      </c>
      <c r="I26" s="562">
        <f t="shared" si="2"/>
        <v>78000</v>
      </c>
      <c r="J26" s="562">
        <f t="shared" si="3"/>
        <v>793000</v>
      </c>
      <c r="K26" s="577">
        <f t="shared" ref="K26:K28" si="20">K$5</f>
        <v>0.1</v>
      </c>
      <c r="L26" s="562">
        <f t="shared" si="4"/>
        <v>79300</v>
      </c>
      <c r="M26" s="562">
        <f t="shared" ref="M26:M28" si="21">M$5</f>
        <v>10000</v>
      </c>
      <c r="N26" s="562">
        <f t="shared" si="5"/>
        <v>69300</v>
      </c>
      <c r="O26" s="570">
        <f t="shared" ref="O26:O28" si="22">O$5</f>
        <v>17</v>
      </c>
      <c r="P26" s="562">
        <f t="shared" si="6"/>
        <v>4076.4705882352941</v>
      </c>
      <c r="Q26" s="562">
        <f t="shared" si="7"/>
        <v>713700</v>
      </c>
      <c r="R26" s="578">
        <f t="shared" si="8"/>
        <v>6414.9373629899992</v>
      </c>
      <c r="S26" s="578">
        <f t="shared" si="9"/>
        <v>8286.6621618331992</v>
      </c>
      <c r="T26" s="578">
        <f t="shared" si="10"/>
        <v>14132.115398247463</v>
      </c>
      <c r="V26" s="207" t="s">
        <v>313</v>
      </c>
      <c r="W26" s="797" t="s">
        <v>336</v>
      </c>
      <c r="AB26" s="794"/>
      <c r="AC26" s="617" t="s">
        <v>328</v>
      </c>
      <c r="AE26" s="617">
        <v>17</v>
      </c>
      <c r="AF26" s="786">
        <v>13.5</v>
      </c>
      <c r="AG26" s="789">
        <v>0</v>
      </c>
    </row>
    <row r="27" spans="1:33" ht="14.25" customHeight="1" x14ac:dyDescent="0.35">
      <c r="A27" s="571" t="s">
        <v>281</v>
      </c>
      <c r="B27" s="572">
        <f t="shared" si="0"/>
        <v>48148.148148148146</v>
      </c>
      <c r="C27" s="579"/>
      <c r="D27" s="574" t="s">
        <v>326</v>
      </c>
      <c r="E27" s="575" t="s">
        <v>131</v>
      </c>
      <c r="F27" s="599">
        <v>13.5</v>
      </c>
      <c r="G27" s="576">
        <v>650000</v>
      </c>
      <c r="H27" s="562">
        <f t="shared" si="1"/>
        <v>65000</v>
      </c>
      <c r="I27" s="562">
        <f t="shared" si="2"/>
        <v>78000</v>
      </c>
      <c r="J27" s="562">
        <f t="shared" si="3"/>
        <v>793000</v>
      </c>
      <c r="K27" s="577">
        <f t="shared" si="20"/>
        <v>0.1</v>
      </c>
      <c r="L27" s="562">
        <f t="shared" si="4"/>
        <v>79300</v>
      </c>
      <c r="M27" s="562">
        <f t="shared" si="21"/>
        <v>10000</v>
      </c>
      <c r="N27" s="562">
        <f t="shared" si="5"/>
        <v>69300</v>
      </c>
      <c r="O27" s="570">
        <f t="shared" si="22"/>
        <v>17</v>
      </c>
      <c r="P27" s="562">
        <f t="shared" si="6"/>
        <v>4076.4705882352941</v>
      </c>
      <c r="Q27" s="562">
        <f t="shared" si="7"/>
        <v>713700</v>
      </c>
      <c r="R27" s="578">
        <f t="shared" si="8"/>
        <v>6414.9373629899992</v>
      </c>
      <c r="S27" s="578">
        <f t="shared" si="9"/>
        <v>8286.6621618331992</v>
      </c>
      <c r="T27" s="578">
        <f t="shared" si="10"/>
        <v>14132.115398247463</v>
      </c>
      <c r="W27" s="137"/>
      <c r="AB27" s="794"/>
      <c r="AC27" s="617" t="s">
        <v>329</v>
      </c>
      <c r="AE27" s="617">
        <v>18</v>
      </c>
      <c r="AF27" s="786">
        <v>13.5</v>
      </c>
      <c r="AG27" s="789">
        <v>0</v>
      </c>
    </row>
    <row r="28" spans="1:33" s="137" customFormat="1" ht="14.25" customHeight="1" x14ac:dyDescent="0.35">
      <c r="A28" s="773" t="s">
        <v>281</v>
      </c>
      <c r="B28" s="774">
        <f t="shared" si="0"/>
        <v>48148.148148148146</v>
      </c>
      <c r="C28" s="775"/>
      <c r="D28" s="776" t="s">
        <v>327</v>
      </c>
      <c r="E28" s="777" t="s">
        <v>131</v>
      </c>
      <c r="F28" s="778">
        <v>13.5</v>
      </c>
      <c r="G28" s="779">
        <v>650000</v>
      </c>
      <c r="H28" s="780">
        <f t="shared" ref="H28" si="23">G28*0.1</f>
        <v>65000</v>
      </c>
      <c r="I28" s="780">
        <f t="shared" ref="I28" si="24">G28*0.12</f>
        <v>78000</v>
      </c>
      <c r="J28" s="780">
        <f t="shared" ref="J28" si="25">SUM(G28:I28)</f>
        <v>793000</v>
      </c>
      <c r="K28" s="781">
        <f t="shared" si="20"/>
        <v>0.1</v>
      </c>
      <c r="L28" s="780">
        <f t="shared" ref="L28" si="26">J28*K28</f>
        <v>79300</v>
      </c>
      <c r="M28" s="780">
        <f t="shared" si="21"/>
        <v>10000</v>
      </c>
      <c r="N28" s="780">
        <f t="shared" ref="N28" si="27">L28-M28</f>
        <v>69300</v>
      </c>
      <c r="O28" s="782">
        <f t="shared" si="22"/>
        <v>17</v>
      </c>
      <c r="P28" s="780">
        <f t="shared" ref="P28" si="28">N28/O28</f>
        <v>4076.4705882352941</v>
      </c>
      <c r="Q28" s="780">
        <f t="shared" ref="Q28" si="29">J28*(100%-K28)</f>
        <v>713700</v>
      </c>
      <c r="R28" s="783">
        <f t="shared" si="8"/>
        <v>6414.9373629899992</v>
      </c>
      <c r="S28" s="783">
        <f t="shared" si="9"/>
        <v>8286.6621618331992</v>
      </c>
      <c r="T28" s="783">
        <f t="shared" si="10"/>
        <v>14132.115398247463</v>
      </c>
      <c r="AC28" s="784" t="s">
        <v>330</v>
      </c>
      <c r="AE28" s="1110" t="s">
        <v>330</v>
      </c>
      <c r="AF28" s="1110"/>
      <c r="AG28" s="788"/>
    </row>
    <row r="29" spans="1:33" ht="14.25" hidden="1" customHeight="1" x14ac:dyDescent="0.35">
      <c r="A29" s="539"/>
      <c r="B29" s="539"/>
      <c r="C29" s="539"/>
      <c r="D29" s="529"/>
      <c r="E29" s="529"/>
      <c r="K29" s="541"/>
      <c r="O29" s="529"/>
      <c r="R29" s="540"/>
    </row>
    <row r="30" spans="1:33" ht="14.25" customHeight="1" x14ac:dyDescent="0.35">
      <c r="D30" s="529"/>
      <c r="E30" s="529"/>
      <c r="K30" s="541"/>
      <c r="O30" s="529"/>
    </row>
    <row r="31" spans="1:33" ht="14.25" customHeight="1" x14ac:dyDescent="0.35">
      <c r="D31" s="529"/>
      <c r="E31" s="529"/>
      <c r="K31" s="541"/>
      <c r="O31" s="529"/>
    </row>
    <row r="32" spans="1:33" ht="14.25" customHeight="1" x14ac:dyDescent="0.35">
      <c r="D32" s="529"/>
      <c r="E32" s="529"/>
      <c r="K32" s="541"/>
      <c r="O32" s="529"/>
      <c r="AB32" s="618" t="s">
        <v>262</v>
      </c>
      <c r="AC32" s="618">
        <f>COUNTIF(AC$7:AC$28,"SOLD")</f>
        <v>11</v>
      </c>
    </row>
    <row r="33" spans="4:29" ht="14.25" customHeight="1" x14ac:dyDescent="0.35">
      <c r="D33" s="529"/>
      <c r="E33" s="529"/>
      <c r="K33" s="541"/>
      <c r="O33" s="529"/>
      <c r="AB33" s="618" t="s">
        <v>263</v>
      </c>
      <c r="AC33" s="618">
        <f>COUNTIF(AC$7:AC$28,"UNSOLD")</f>
        <v>3</v>
      </c>
    </row>
    <row r="34" spans="4:29" ht="14.25" customHeight="1" x14ac:dyDescent="0.35">
      <c r="D34" s="529"/>
      <c r="E34" s="529"/>
      <c r="K34" s="541"/>
      <c r="O34" s="529"/>
      <c r="AB34" s="618" t="s">
        <v>328</v>
      </c>
      <c r="AC34" s="618">
        <f>COUNTIF(AC$7:AC$28,"NOT YET OPEN")</f>
        <v>3</v>
      </c>
    </row>
    <row r="35" spans="4:29" ht="14.25" customHeight="1" x14ac:dyDescent="0.35">
      <c r="D35" s="529"/>
      <c r="E35" s="529"/>
      <c r="K35" s="541"/>
      <c r="O35" s="529"/>
      <c r="AB35" t="s">
        <v>329</v>
      </c>
      <c r="AC35" s="618">
        <f>COUNTIF(AC$7:AC$28,"NOT FOR SALE")</f>
        <v>1</v>
      </c>
    </row>
    <row r="36" spans="4:29" ht="14.25" customHeight="1" x14ac:dyDescent="0.35">
      <c r="D36" s="529"/>
      <c r="E36" s="529"/>
      <c r="K36" s="541"/>
      <c r="O36" s="529"/>
      <c r="AB36" s="618" t="s">
        <v>235</v>
      </c>
      <c r="AC36" s="618">
        <f>SUM(AC32:AC35)</f>
        <v>18</v>
      </c>
    </row>
    <row r="37" spans="4:29" ht="14.25" customHeight="1" x14ac:dyDescent="0.35">
      <c r="D37" s="529"/>
      <c r="E37" s="529"/>
      <c r="K37" s="541"/>
      <c r="O37" s="529"/>
    </row>
    <row r="38" spans="4:29" ht="14.25" customHeight="1" x14ac:dyDescent="0.35">
      <c r="D38" s="529"/>
      <c r="E38" s="529"/>
      <c r="K38" s="541"/>
      <c r="O38" s="529"/>
    </row>
    <row r="39" spans="4:29" ht="14.25" customHeight="1" x14ac:dyDescent="0.35">
      <c r="D39" s="529"/>
      <c r="E39" s="529"/>
      <c r="K39" s="541"/>
      <c r="O39" s="529"/>
    </row>
    <row r="40" spans="4:29" ht="14.25" customHeight="1" x14ac:dyDescent="0.35">
      <c r="D40" s="529"/>
      <c r="E40" s="529"/>
      <c r="K40" s="541"/>
      <c r="O40" s="529"/>
    </row>
    <row r="41" spans="4:29" ht="14.25" customHeight="1" x14ac:dyDescent="0.35">
      <c r="D41" s="529"/>
      <c r="E41" s="529"/>
      <c r="K41" s="541"/>
      <c r="O41" s="529"/>
    </row>
    <row r="42" spans="4:29" ht="14.25" customHeight="1" x14ac:dyDescent="0.35">
      <c r="D42" s="529"/>
      <c r="E42" s="529"/>
      <c r="K42" s="541"/>
      <c r="O42" s="529"/>
    </row>
    <row r="43" spans="4:29" ht="14.25" customHeight="1" x14ac:dyDescent="0.35">
      <c r="D43" s="529"/>
      <c r="E43" s="529"/>
      <c r="K43" s="541"/>
      <c r="O43" s="529"/>
    </row>
    <row r="44" spans="4:29" ht="14.25" customHeight="1" x14ac:dyDescent="0.35">
      <c r="D44" s="529"/>
      <c r="E44" s="529"/>
      <c r="K44" s="541"/>
      <c r="O44" s="529"/>
    </row>
    <row r="45" spans="4:29" ht="14.25" customHeight="1" x14ac:dyDescent="0.35">
      <c r="D45" s="529"/>
      <c r="E45" s="529"/>
      <c r="K45" s="541"/>
      <c r="O45" s="529"/>
    </row>
    <row r="46" spans="4:29" ht="14.25" customHeight="1" x14ac:dyDescent="0.35">
      <c r="D46" s="529"/>
      <c r="E46" s="529"/>
      <c r="K46" s="541"/>
      <c r="O46" s="529"/>
    </row>
    <row r="47" spans="4:29" ht="14.25" customHeight="1" x14ac:dyDescent="0.35">
      <c r="D47" s="529"/>
      <c r="E47" s="529"/>
      <c r="K47" s="541"/>
      <c r="O47" s="529"/>
    </row>
    <row r="48" spans="4:29" ht="14.25" customHeight="1" x14ac:dyDescent="0.35">
      <c r="D48" s="529"/>
      <c r="E48" s="529"/>
      <c r="K48" s="541"/>
      <c r="O48" s="529"/>
    </row>
    <row r="49" spans="4:15" ht="14.25" customHeight="1" x14ac:dyDescent="0.35">
      <c r="D49" s="529"/>
      <c r="E49" s="529"/>
      <c r="K49" s="541"/>
      <c r="O49" s="529"/>
    </row>
    <row r="50" spans="4:15" ht="14.25" customHeight="1" x14ac:dyDescent="0.35">
      <c r="D50" s="529"/>
      <c r="E50" s="529"/>
      <c r="K50" s="541"/>
      <c r="O50" s="529"/>
    </row>
    <row r="51" spans="4:15" ht="14.25" customHeight="1" x14ac:dyDescent="0.35">
      <c r="D51" s="529"/>
      <c r="E51" s="529"/>
      <c r="K51" s="541"/>
      <c r="O51" s="529"/>
    </row>
    <row r="52" spans="4:15" ht="14.25" customHeight="1" x14ac:dyDescent="0.35">
      <c r="D52" s="529"/>
      <c r="E52" s="529"/>
      <c r="K52" s="541"/>
      <c r="O52" s="529"/>
    </row>
    <row r="53" spans="4:15" ht="14.25" customHeight="1" x14ac:dyDescent="0.35">
      <c r="D53" s="529"/>
      <c r="E53" s="529"/>
      <c r="K53" s="541"/>
      <c r="O53" s="529"/>
    </row>
    <row r="54" spans="4:15" ht="14.25" customHeight="1" x14ac:dyDescent="0.35">
      <c r="D54" s="529"/>
      <c r="E54" s="529"/>
      <c r="K54" s="541"/>
      <c r="O54" s="529"/>
    </row>
    <row r="55" spans="4:15" ht="14.25" customHeight="1" x14ac:dyDescent="0.35">
      <c r="D55" s="529"/>
      <c r="E55" s="529"/>
      <c r="K55" s="541"/>
      <c r="O55" s="529"/>
    </row>
    <row r="56" spans="4:15" ht="14.25" customHeight="1" x14ac:dyDescent="0.35">
      <c r="D56" s="529"/>
      <c r="E56" s="529"/>
      <c r="K56" s="541"/>
      <c r="O56" s="529"/>
    </row>
    <row r="57" spans="4:15" ht="14.25" customHeight="1" x14ac:dyDescent="0.35">
      <c r="D57" s="529"/>
      <c r="E57" s="529"/>
      <c r="K57" s="541"/>
      <c r="O57" s="529"/>
    </row>
    <row r="58" spans="4:15" ht="14.25" customHeight="1" x14ac:dyDescent="0.35">
      <c r="D58" s="529"/>
      <c r="E58" s="529"/>
      <c r="K58" s="541"/>
      <c r="O58" s="529"/>
    </row>
    <row r="59" spans="4:15" ht="14.25" customHeight="1" x14ac:dyDescent="0.35">
      <c r="D59" s="529"/>
      <c r="E59" s="529"/>
      <c r="K59" s="541"/>
      <c r="O59" s="529"/>
    </row>
    <row r="60" spans="4:15" ht="14.25" customHeight="1" x14ac:dyDescent="0.35">
      <c r="D60" s="529"/>
      <c r="E60" s="529"/>
      <c r="K60" s="541"/>
      <c r="O60" s="529"/>
    </row>
    <row r="61" spans="4:15" ht="14.25" customHeight="1" x14ac:dyDescent="0.35">
      <c r="D61" s="529"/>
      <c r="E61" s="529"/>
      <c r="K61" s="541"/>
      <c r="O61" s="529"/>
    </row>
    <row r="62" spans="4:15" ht="14.25" customHeight="1" x14ac:dyDescent="0.35">
      <c r="D62" s="529"/>
      <c r="E62" s="529"/>
      <c r="K62" s="541"/>
      <c r="O62" s="529"/>
    </row>
    <row r="63" spans="4:15" ht="14.25" customHeight="1" x14ac:dyDescent="0.35">
      <c r="D63" s="529"/>
      <c r="E63" s="529"/>
      <c r="K63" s="541"/>
      <c r="O63" s="529"/>
    </row>
    <row r="64" spans="4:15" ht="14.25" customHeight="1" x14ac:dyDescent="0.35">
      <c r="D64" s="529"/>
      <c r="E64" s="529"/>
      <c r="K64" s="541"/>
      <c r="O64" s="529"/>
    </row>
    <row r="65" spans="4:15" ht="14.25" customHeight="1" x14ac:dyDescent="0.35">
      <c r="D65" s="529"/>
      <c r="E65" s="529"/>
      <c r="K65" s="541"/>
      <c r="O65" s="529"/>
    </row>
    <row r="66" spans="4:15" ht="14.25" customHeight="1" x14ac:dyDescent="0.35">
      <c r="D66" s="529"/>
      <c r="E66" s="529"/>
      <c r="K66" s="541"/>
      <c r="O66" s="529"/>
    </row>
    <row r="67" spans="4:15" ht="14.25" customHeight="1" x14ac:dyDescent="0.35">
      <c r="D67" s="529"/>
      <c r="E67" s="529"/>
      <c r="K67" s="541"/>
      <c r="O67" s="529"/>
    </row>
    <row r="68" spans="4:15" ht="14.25" customHeight="1" x14ac:dyDescent="0.35">
      <c r="D68" s="529"/>
      <c r="E68" s="529"/>
      <c r="K68" s="541"/>
      <c r="O68" s="529"/>
    </row>
    <row r="69" spans="4:15" ht="14.25" customHeight="1" x14ac:dyDescent="0.35">
      <c r="D69" s="529"/>
      <c r="E69" s="529"/>
      <c r="K69" s="541"/>
      <c r="O69" s="529"/>
    </row>
    <row r="70" spans="4:15" ht="14.25" customHeight="1" x14ac:dyDescent="0.35">
      <c r="D70" s="529"/>
      <c r="E70" s="529"/>
      <c r="K70" s="541"/>
      <c r="O70" s="529"/>
    </row>
    <row r="71" spans="4:15" ht="14.25" customHeight="1" x14ac:dyDescent="0.35">
      <c r="D71" s="529"/>
      <c r="E71" s="529"/>
      <c r="K71" s="541"/>
      <c r="O71" s="529"/>
    </row>
    <row r="72" spans="4:15" ht="14.25" customHeight="1" x14ac:dyDescent="0.35">
      <c r="D72" s="529"/>
      <c r="E72" s="529"/>
      <c r="K72" s="541"/>
      <c r="O72" s="529"/>
    </row>
    <row r="73" spans="4:15" ht="14.25" customHeight="1" x14ac:dyDescent="0.35">
      <c r="D73" s="529"/>
      <c r="E73" s="529"/>
      <c r="K73" s="541"/>
      <c r="O73" s="529"/>
    </row>
    <row r="74" spans="4:15" ht="14.25" customHeight="1" x14ac:dyDescent="0.35">
      <c r="D74" s="529"/>
      <c r="E74" s="529"/>
      <c r="K74" s="541"/>
      <c r="O74" s="529"/>
    </row>
    <row r="75" spans="4:15" ht="14.25" customHeight="1" x14ac:dyDescent="0.35">
      <c r="D75" s="529"/>
      <c r="E75" s="529"/>
      <c r="K75" s="541"/>
      <c r="O75" s="529"/>
    </row>
    <row r="76" spans="4:15" ht="14.25" customHeight="1" x14ac:dyDescent="0.35">
      <c r="D76" s="529"/>
      <c r="E76" s="529"/>
      <c r="K76" s="541"/>
      <c r="O76" s="529"/>
    </row>
    <row r="77" spans="4:15" ht="14.25" customHeight="1" x14ac:dyDescent="0.35">
      <c r="D77" s="529"/>
      <c r="E77" s="529"/>
      <c r="K77" s="541"/>
      <c r="O77" s="529"/>
    </row>
    <row r="78" spans="4:15" ht="14.25" customHeight="1" x14ac:dyDescent="0.35">
      <c r="D78" s="529"/>
      <c r="E78" s="529"/>
      <c r="K78" s="541"/>
      <c r="O78" s="529"/>
    </row>
    <row r="79" spans="4:15" ht="14.25" customHeight="1" x14ac:dyDescent="0.35">
      <c r="D79" s="529"/>
      <c r="E79" s="529"/>
      <c r="K79" s="541"/>
      <c r="O79" s="529"/>
    </row>
    <row r="80" spans="4:15" ht="14.25" customHeight="1" x14ac:dyDescent="0.35">
      <c r="D80" s="529"/>
      <c r="E80" s="529"/>
      <c r="K80" s="541"/>
      <c r="O80" s="529"/>
    </row>
    <row r="81" spans="4:15" ht="14.25" customHeight="1" x14ac:dyDescent="0.35">
      <c r="D81" s="529"/>
      <c r="E81" s="529"/>
      <c r="K81" s="541"/>
      <c r="O81" s="529"/>
    </row>
    <row r="82" spans="4:15" ht="14.25" customHeight="1" x14ac:dyDescent="0.35">
      <c r="D82" s="529"/>
      <c r="E82" s="529"/>
      <c r="K82" s="541"/>
      <c r="O82" s="529"/>
    </row>
    <row r="83" spans="4:15" ht="14.25" customHeight="1" x14ac:dyDescent="0.35">
      <c r="D83" s="529"/>
      <c r="E83" s="529"/>
      <c r="K83" s="541"/>
      <c r="O83" s="529"/>
    </row>
    <row r="84" spans="4:15" ht="14.25" customHeight="1" x14ac:dyDescent="0.35">
      <c r="D84" s="529"/>
      <c r="E84" s="529"/>
      <c r="K84" s="541"/>
      <c r="O84" s="529"/>
    </row>
    <row r="85" spans="4:15" ht="14.25" customHeight="1" x14ac:dyDescent="0.35">
      <c r="D85" s="529"/>
      <c r="E85" s="529"/>
      <c r="K85" s="541"/>
      <c r="O85" s="529"/>
    </row>
    <row r="86" spans="4:15" ht="14.25" customHeight="1" x14ac:dyDescent="0.35">
      <c r="D86" s="529"/>
      <c r="E86" s="529"/>
      <c r="K86" s="541"/>
      <c r="O86" s="529"/>
    </row>
    <row r="87" spans="4:15" ht="14.25" customHeight="1" x14ac:dyDescent="0.35">
      <c r="D87" s="529"/>
      <c r="E87" s="529"/>
      <c r="K87" s="541"/>
      <c r="O87" s="529"/>
    </row>
    <row r="88" spans="4:15" ht="14.25" customHeight="1" x14ac:dyDescent="0.35">
      <c r="D88" s="529"/>
      <c r="E88" s="529"/>
      <c r="K88" s="541"/>
      <c r="O88" s="529"/>
    </row>
    <row r="89" spans="4:15" ht="14.25" customHeight="1" x14ac:dyDescent="0.35">
      <c r="D89" s="529"/>
      <c r="E89" s="529"/>
      <c r="K89" s="541"/>
      <c r="O89" s="529"/>
    </row>
    <row r="90" spans="4:15" ht="14.25" customHeight="1" x14ac:dyDescent="0.35">
      <c r="D90" s="529"/>
      <c r="E90" s="529"/>
      <c r="K90" s="541"/>
      <c r="O90" s="529"/>
    </row>
    <row r="91" spans="4:15" ht="14.25" customHeight="1" x14ac:dyDescent="0.35">
      <c r="D91" s="529"/>
      <c r="E91" s="529"/>
      <c r="K91" s="541"/>
      <c r="O91" s="529"/>
    </row>
    <row r="92" spans="4:15" ht="14.25" customHeight="1" x14ac:dyDescent="0.35">
      <c r="D92" s="529"/>
      <c r="E92" s="529"/>
      <c r="K92" s="541"/>
      <c r="O92" s="529"/>
    </row>
    <row r="93" spans="4:15" ht="14.25" customHeight="1" x14ac:dyDescent="0.35">
      <c r="D93" s="529"/>
      <c r="E93" s="529"/>
      <c r="K93" s="541"/>
      <c r="O93" s="529"/>
    </row>
    <row r="94" spans="4:15" ht="14.25" customHeight="1" x14ac:dyDescent="0.35">
      <c r="D94" s="529"/>
      <c r="E94" s="529"/>
      <c r="K94" s="541"/>
      <c r="O94" s="529"/>
    </row>
    <row r="95" spans="4:15" ht="14.25" customHeight="1" x14ac:dyDescent="0.35">
      <c r="D95" s="529"/>
      <c r="E95" s="529"/>
      <c r="K95" s="541"/>
      <c r="O95" s="529"/>
    </row>
    <row r="96" spans="4:15" ht="14.25" customHeight="1" x14ac:dyDescent="0.35">
      <c r="D96" s="529"/>
      <c r="E96" s="529"/>
      <c r="K96" s="541"/>
      <c r="O96" s="529"/>
    </row>
    <row r="97" spans="4:15" ht="14.25" customHeight="1" x14ac:dyDescent="0.35">
      <c r="D97" s="529"/>
      <c r="E97" s="529"/>
      <c r="K97" s="541"/>
      <c r="O97" s="529"/>
    </row>
    <row r="98" spans="4:15" ht="14.25" customHeight="1" x14ac:dyDescent="0.35">
      <c r="D98" s="529"/>
      <c r="E98" s="529"/>
      <c r="K98" s="541"/>
      <c r="O98" s="529"/>
    </row>
    <row r="99" spans="4:15" ht="14.25" customHeight="1" x14ac:dyDescent="0.35">
      <c r="D99" s="529"/>
      <c r="E99" s="529"/>
      <c r="K99" s="541"/>
      <c r="O99" s="529"/>
    </row>
    <row r="100" spans="4:15" ht="14.25" customHeight="1" x14ac:dyDescent="0.35">
      <c r="D100" s="529"/>
      <c r="E100" s="529"/>
      <c r="K100" s="541"/>
      <c r="O100" s="529"/>
    </row>
    <row r="101" spans="4:15" ht="14.25" customHeight="1" x14ac:dyDescent="0.35">
      <c r="D101" s="529"/>
      <c r="E101" s="529"/>
      <c r="K101" s="541"/>
      <c r="O101" s="529"/>
    </row>
    <row r="102" spans="4:15" ht="14.25" customHeight="1" x14ac:dyDescent="0.35">
      <c r="D102" s="529"/>
      <c r="E102" s="529"/>
      <c r="K102" s="541"/>
      <c r="O102" s="529"/>
    </row>
    <row r="103" spans="4:15" ht="14.25" customHeight="1" x14ac:dyDescent="0.35">
      <c r="D103" s="529"/>
      <c r="E103" s="529"/>
      <c r="K103" s="541"/>
      <c r="O103" s="529"/>
    </row>
    <row r="104" spans="4:15" ht="14.25" customHeight="1" x14ac:dyDescent="0.35">
      <c r="D104" s="529"/>
      <c r="E104" s="529"/>
      <c r="K104" s="541"/>
      <c r="O104" s="529"/>
    </row>
    <row r="105" spans="4:15" ht="14.25" customHeight="1" x14ac:dyDescent="0.35">
      <c r="D105" s="529"/>
      <c r="E105" s="529"/>
      <c r="K105" s="541"/>
      <c r="O105" s="529"/>
    </row>
    <row r="106" spans="4:15" ht="14.25" customHeight="1" x14ac:dyDescent="0.35">
      <c r="D106" s="529"/>
      <c r="E106" s="529"/>
      <c r="K106" s="541"/>
      <c r="O106" s="529"/>
    </row>
    <row r="107" spans="4:15" ht="14.25" customHeight="1" x14ac:dyDescent="0.35">
      <c r="D107" s="529"/>
      <c r="E107" s="529"/>
      <c r="K107" s="541"/>
      <c r="O107" s="529"/>
    </row>
    <row r="108" spans="4:15" ht="14.25" customHeight="1" x14ac:dyDescent="0.35">
      <c r="D108" s="529"/>
      <c r="E108" s="529"/>
      <c r="K108" s="541"/>
      <c r="O108" s="529"/>
    </row>
    <row r="109" spans="4:15" ht="14.25" customHeight="1" x14ac:dyDescent="0.35">
      <c r="D109" s="529"/>
      <c r="E109" s="529"/>
      <c r="K109" s="541"/>
      <c r="O109" s="529"/>
    </row>
    <row r="110" spans="4:15" ht="14.25" customHeight="1" x14ac:dyDescent="0.35">
      <c r="D110" s="529"/>
      <c r="E110" s="529"/>
      <c r="K110" s="541"/>
      <c r="O110" s="529"/>
    </row>
    <row r="111" spans="4:15" ht="14.25" customHeight="1" x14ac:dyDescent="0.35">
      <c r="D111" s="529"/>
      <c r="E111" s="529"/>
      <c r="K111" s="541"/>
      <c r="O111" s="529"/>
    </row>
    <row r="112" spans="4:15" ht="14.25" customHeight="1" x14ac:dyDescent="0.35">
      <c r="D112" s="529"/>
      <c r="E112" s="529"/>
      <c r="K112" s="541"/>
      <c r="O112" s="529"/>
    </row>
    <row r="113" spans="4:15" ht="14.25" customHeight="1" x14ac:dyDescent="0.35">
      <c r="D113" s="529"/>
      <c r="E113" s="529"/>
      <c r="K113" s="541"/>
      <c r="O113" s="529"/>
    </row>
    <row r="114" spans="4:15" ht="14.25" customHeight="1" x14ac:dyDescent="0.35">
      <c r="D114" s="529"/>
      <c r="E114" s="529"/>
      <c r="K114" s="541"/>
      <c r="O114" s="529"/>
    </row>
    <row r="115" spans="4:15" ht="14.25" customHeight="1" x14ac:dyDescent="0.35">
      <c r="D115" s="529"/>
      <c r="E115" s="529"/>
      <c r="K115" s="541"/>
      <c r="O115" s="529"/>
    </row>
    <row r="116" spans="4:15" ht="14.25" customHeight="1" x14ac:dyDescent="0.35">
      <c r="D116" s="529"/>
      <c r="E116" s="529"/>
      <c r="K116" s="541"/>
      <c r="O116" s="529"/>
    </row>
    <row r="117" spans="4:15" ht="14.25" customHeight="1" x14ac:dyDescent="0.35">
      <c r="D117" s="529"/>
      <c r="E117" s="529"/>
      <c r="K117" s="541"/>
      <c r="O117" s="529"/>
    </row>
    <row r="118" spans="4:15" ht="14.25" customHeight="1" x14ac:dyDescent="0.35">
      <c r="D118" s="529"/>
      <c r="E118" s="529"/>
      <c r="K118" s="541"/>
      <c r="O118" s="529"/>
    </row>
    <row r="119" spans="4:15" ht="14.25" customHeight="1" x14ac:dyDescent="0.35">
      <c r="D119" s="529"/>
      <c r="E119" s="529"/>
      <c r="K119" s="541"/>
      <c r="O119" s="529"/>
    </row>
    <row r="120" spans="4:15" ht="14.25" customHeight="1" x14ac:dyDescent="0.35">
      <c r="D120" s="529"/>
      <c r="E120" s="529"/>
      <c r="K120" s="541"/>
      <c r="O120" s="529"/>
    </row>
    <row r="121" spans="4:15" ht="14.25" customHeight="1" x14ac:dyDescent="0.35">
      <c r="D121" s="529"/>
      <c r="E121" s="529"/>
      <c r="K121" s="541"/>
      <c r="O121" s="529"/>
    </row>
    <row r="122" spans="4:15" ht="14.25" customHeight="1" x14ac:dyDescent="0.35">
      <c r="D122" s="529"/>
      <c r="E122" s="529"/>
      <c r="K122" s="541"/>
      <c r="O122" s="529"/>
    </row>
    <row r="123" spans="4:15" ht="14.25" customHeight="1" x14ac:dyDescent="0.35">
      <c r="D123" s="529"/>
      <c r="E123" s="529"/>
      <c r="K123" s="541"/>
      <c r="O123" s="529"/>
    </row>
    <row r="124" spans="4:15" ht="14.25" customHeight="1" x14ac:dyDescent="0.35">
      <c r="D124" s="529"/>
      <c r="E124" s="529"/>
      <c r="K124" s="541"/>
      <c r="O124" s="529"/>
    </row>
    <row r="125" spans="4:15" ht="14.25" customHeight="1" x14ac:dyDescent="0.35">
      <c r="D125" s="529"/>
      <c r="E125" s="529"/>
      <c r="K125" s="541"/>
      <c r="O125" s="529"/>
    </row>
    <row r="126" spans="4:15" ht="14.25" customHeight="1" x14ac:dyDescent="0.35">
      <c r="D126" s="529"/>
      <c r="E126" s="529"/>
      <c r="K126" s="541"/>
      <c r="O126" s="529"/>
    </row>
    <row r="127" spans="4:15" ht="14.25" customHeight="1" x14ac:dyDescent="0.35">
      <c r="D127" s="529"/>
      <c r="E127" s="529"/>
      <c r="K127" s="541"/>
      <c r="O127" s="529"/>
    </row>
    <row r="128" spans="4:15" ht="14.25" customHeight="1" x14ac:dyDescent="0.35">
      <c r="D128" s="529"/>
      <c r="E128" s="529"/>
      <c r="K128" s="541"/>
      <c r="O128" s="529"/>
    </row>
    <row r="129" spans="4:15" ht="14.25" customHeight="1" x14ac:dyDescent="0.35">
      <c r="D129" s="529"/>
      <c r="E129" s="529"/>
      <c r="K129" s="541"/>
      <c r="O129" s="529"/>
    </row>
    <row r="130" spans="4:15" ht="14.25" customHeight="1" x14ac:dyDescent="0.35">
      <c r="D130" s="529"/>
      <c r="E130" s="529"/>
      <c r="K130" s="541"/>
      <c r="O130" s="529"/>
    </row>
    <row r="131" spans="4:15" ht="14.25" customHeight="1" x14ac:dyDescent="0.35">
      <c r="D131" s="529"/>
      <c r="E131" s="529"/>
      <c r="K131" s="541"/>
      <c r="O131" s="529"/>
    </row>
    <row r="132" spans="4:15" ht="14.25" customHeight="1" x14ac:dyDescent="0.35">
      <c r="D132" s="529"/>
      <c r="E132" s="529"/>
      <c r="K132" s="541"/>
      <c r="O132" s="529"/>
    </row>
    <row r="133" spans="4:15" ht="14.25" customHeight="1" x14ac:dyDescent="0.35">
      <c r="D133" s="529"/>
      <c r="E133" s="529"/>
      <c r="K133" s="541"/>
      <c r="O133" s="529"/>
    </row>
    <row r="134" spans="4:15" ht="14.25" customHeight="1" x14ac:dyDescent="0.35">
      <c r="D134" s="529"/>
      <c r="E134" s="529"/>
      <c r="K134" s="541"/>
      <c r="O134" s="529"/>
    </row>
    <row r="135" spans="4:15" ht="14.25" customHeight="1" x14ac:dyDescent="0.35">
      <c r="D135" s="529"/>
      <c r="E135" s="529"/>
      <c r="K135" s="541"/>
      <c r="O135" s="529"/>
    </row>
    <row r="136" spans="4:15" ht="14.25" customHeight="1" x14ac:dyDescent="0.35">
      <c r="D136" s="529"/>
      <c r="E136" s="529"/>
      <c r="K136" s="541"/>
      <c r="O136" s="529"/>
    </row>
    <row r="137" spans="4:15" ht="14.25" customHeight="1" x14ac:dyDescent="0.35">
      <c r="D137" s="529"/>
      <c r="E137" s="529"/>
      <c r="K137" s="541"/>
      <c r="O137" s="529"/>
    </row>
    <row r="138" spans="4:15" ht="14.25" customHeight="1" x14ac:dyDescent="0.35">
      <c r="D138" s="529"/>
      <c r="E138" s="529"/>
      <c r="K138" s="541"/>
      <c r="O138" s="529"/>
    </row>
    <row r="139" spans="4:15" ht="14.25" customHeight="1" x14ac:dyDescent="0.35">
      <c r="D139" s="529"/>
      <c r="E139" s="529"/>
      <c r="K139" s="541"/>
      <c r="O139" s="529"/>
    </row>
    <row r="140" spans="4:15" ht="14.25" customHeight="1" x14ac:dyDescent="0.35">
      <c r="D140" s="529"/>
      <c r="E140" s="529"/>
      <c r="K140" s="541"/>
      <c r="O140" s="529"/>
    </row>
    <row r="141" spans="4:15" ht="14.25" customHeight="1" x14ac:dyDescent="0.35">
      <c r="D141" s="529"/>
      <c r="E141" s="529"/>
      <c r="K141" s="541"/>
      <c r="O141" s="529"/>
    </row>
    <row r="142" spans="4:15" ht="14.25" customHeight="1" x14ac:dyDescent="0.35">
      <c r="D142" s="529"/>
      <c r="E142" s="529"/>
      <c r="K142" s="541"/>
      <c r="O142" s="529"/>
    </row>
    <row r="143" spans="4:15" ht="14.25" customHeight="1" x14ac:dyDescent="0.35">
      <c r="D143" s="529"/>
      <c r="E143" s="529"/>
      <c r="K143" s="541"/>
      <c r="O143" s="529"/>
    </row>
    <row r="144" spans="4:15" ht="14.25" customHeight="1" x14ac:dyDescent="0.35">
      <c r="D144" s="529"/>
      <c r="E144" s="529"/>
      <c r="K144" s="541"/>
      <c r="O144" s="529"/>
    </row>
    <row r="145" spans="4:15" ht="14.25" customHeight="1" x14ac:dyDescent="0.35">
      <c r="D145" s="529"/>
      <c r="E145" s="529"/>
      <c r="K145" s="541"/>
      <c r="O145" s="529"/>
    </row>
    <row r="146" spans="4:15" ht="14.25" customHeight="1" x14ac:dyDescent="0.35">
      <c r="D146" s="529"/>
      <c r="E146" s="529"/>
      <c r="K146" s="541"/>
      <c r="O146" s="529"/>
    </row>
    <row r="147" spans="4:15" ht="14.25" customHeight="1" x14ac:dyDescent="0.35">
      <c r="D147" s="529"/>
      <c r="E147" s="529"/>
      <c r="K147" s="541"/>
      <c r="O147" s="529"/>
    </row>
    <row r="148" spans="4:15" ht="14.25" customHeight="1" x14ac:dyDescent="0.35">
      <c r="D148" s="529"/>
      <c r="E148" s="529"/>
      <c r="K148" s="541"/>
      <c r="O148" s="529"/>
    </row>
    <row r="149" spans="4:15" ht="14.25" customHeight="1" x14ac:dyDescent="0.35">
      <c r="D149" s="529"/>
      <c r="E149" s="529"/>
      <c r="K149" s="541"/>
      <c r="O149" s="529"/>
    </row>
    <row r="150" spans="4:15" ht="14.25" customHeight="1" x14ac:dyDescent="0.35">
      <c r="D150" s="529"/>
      <c r="E150" s="529"/>
      <c r="K150" s="541"/>
      <c r="O150" s="529"/>
    </row>
    <row r="151" spans="4:15" ht="14.25" customHeight="1" x14ac:dyDescent="0.35">
      <c r="D151" s="529"/>
      <c r="E151" s="529"/>
      <c r="K151" s="541"/>
      <c r="O151" s="529"/>
    </row>
    <row r="152" spans="4:15" ht="14.25" customHeight="1" x14ac:dyDescent="0.35">
      <c r="D152" s="529"/>
      <c r="E152" s="529"/>
      <c r="K152" s="541"/>
      <c r="O152" s="529"/>
    </row>
    <row r="153" spans="4:15" ht="14.25" customHeight="1" x14ac:dyDescent="0.35">
      <c r="D153" s="529"/>
      <c r="E153" s="529"/>
      <c r="K153" s="541"/>
      <c r="O153" s="529"/>
    </row>
    <row r="154" spans="4:15" ht="14.25" customHeight="1" x14ac:dyDescent="0.35">
      <c r="D154" s="529"/>
      <c r="E154" s="529"/>
      <c r="K154" s="541"/>
      <c r="O154" s="529"/>
    </row>
    <row r="155" spans="4:15" ht="14.25" customHeight="1" x14ac:dyDescent="0.35">
      <c r="D155" s="529"/>
      <c r="E155" s="529"/>
      <c r="K155" s="541"/>
      <c r="O155" s="529"/>
    </row>
    <row r="156" spans="4:15" ht="14.25" customHeight="1" x14ac:dyDescent="0.35">
      <c r="D156" s="529"/>
      <c r="E156" s="529"/>
      <c r="K156" s="541"/>
      <c r="O156" s="529"/>
    </row>
    <row r="157" spans="4:15" ht="14.25" customHeight="1" x14ac:dyDescent="0.35">
      <c r="D157" s="529"/>
      <c r="E157" s="529"/>
      <c r="K157" s="541"/>
      <c r="O157" s="529"/>
    </row>
    <row r="158" spans="4:15" ht="14.25" customHeight="1" x14ac:dyDescent="0.35">
      <c r="D158" s="529"/>
      <c r="E158" s="529"/>
      <c r="K158" s="541"/>
      <c r="O158" s="529"/>
    </row>
    <row r="159" spans="4:15" ht="14.25" customHeight="1" x14ac:dyDescent="0.35">
      <c r="D159" s="529"/>
      <c r="E159" s="529"/>
      <c r="K159" s="541"/>
      <c r="O159" s="529"/>
    </row>
    <row r="160" spans="4:15" ht="14.25" customHeight="1" x14ac:dyDescent="0.35">
      <c r="D160" s="529"/>
      <c r="E160" s="529"/>
      <c r="K160" s="541"/>
      <c r="O160" s="529"/>
    </row>
    <row r="161" spans="4:15" ht="14.25" customHeight="1" x14ac:dyDescent="0.35">
      <c r="D161" s="529"/>
      <c r="E161" s="529"/>
      <c r="K161" s="541"/>
      <c r="O161" s="529"/>
    </row>
    <row r="162" spans="4:15" ht="14.25" customHeight="1" x14ac:dyDescent="0.35">
      <c r="D162" s="529"/>
      <c r="E162" s="529"/>
      <c r="K162" s="541"/>
      <c r="O162" s="529"/>
    </row>
    <row r="163" spans="4:15" ht="14.25" customHeight="1" x14ac:dyDescent="0.35">
      <c r="D163" s="529"/>
      <c r="E163" s="529"/>
      <c r="K163" s="541"/>
      <c r="O163" s="529"/>
    </row>
    <row r="164" spans="4:15" ht="14.25" customHeight="1" x14ac:dyDescent="0.35">
      <c r="D164" s="529"/>
      <c r="E164" s="529"/>
      <c r="K164" s="541"/>
      <c r="O164" s="529"/>
    </row>
    <row r="165" spans="4:15" ht="14.25" customHeight="1" x14ac:dyDescent="0.35">
      <c r="D165" s="529"/>
      <c r="E165" s="529"/>
      <c r="K165" s="541"/>
      <c r="O165" s="529"/>
    </row>
    <row r="166" spans="4:15" ht="14.25" customHeight="1" x14ac:dyDescent="0.35">
      <c r="D166" s="529"/>
      <c r="E166" s="529"/>
      <c r="K166" s="541"/>
      <c r="O166" s="529"/>
    </row>
    <row r="167" spans="4:15" ht="14.25" customHeight="1" x14ac:dyDescent="0.35">
      <c r="D167" s="529"/>
      <c r="E167" s="529"/>
      <c r="K167" s="541"/>
      <c r="O167" s="529"/>
    </row>
    <row r="168" spans="4:15" ht="14.25" customHeight="1" x14ac:dyDescent="0.35">
      <c r="D168" s="529"/>
      <c r="E168" s="529"/>
      <c r="K168" s="541"/>
      <c r="O168" s="529"/>
    </row>
    <row r="169" spans="4:15" ht="14.25" customHeight="1" x14ac:dyDescent="0.35">
      <c r="D169" s="529"/>
      <c r="E169" s="529"/>
      <c r="K169" s="541"/>
      <c r="O169" s="529"/>
    </row>
    <row r="170" spans="4:15" ht="14.25" customHeight="1" x14ac:dyDescent="0.35">
      <c r="D170" s="529"/>
      <c r="E170" s="529"/>
      <c r="K170" s="541"/>
      <c r="O170" s="529"/>
    </row>
    <row r="171" spans="4:15" ht="14.25" customHeight="1" x14ac:dyDescent="0.35">
      <c r="D171" s="529"/>
      <c r="E171" s="529"/>
      <c r="K171" s="541"/>
      <c r="O171" s="529"/>
    </row>
    <row r="172" spans="4:15" ht="14.25" customHeight="1" x14ac:dyDescent="0.35">
      <c r="D172" s="529"/>
      <c r="E172" s="529"/>
      <c r="K172" s="541"/>
      <c r="O172" s="529"/>
    </row>
    <row r="173" spans="4:15" ht="14.25" customHeight="1" x14ac:dyDescent="0.35">
      <c r="D173" s="529"/>
      <c r="E173" s="529"/>
      <c r="K173" s="541"/>
      <c r="O173" s="529"/>
    </row>
    <row r="174" spans="4:15" ht="14.25" customHeight="1" x14ac:dyDescent="0.35">
      <c r="D174" s="529"/>
      <c r="E174" s="529"/>
      <c r="K174" s="541"/>
      <c r="O174" s="529"/>
    </row>
    <row r="175" spans="4:15" ht="14.25" customHeight="1" x14ac:dyDescent="0.35">
      <c r="D175" s="529"/>
      <c r="E175" s="529"/>
      <c r="K175" s="541"/>
      <c r="O175" s="529"/>
    </row>
    <row r="176" spans="4:15" ht="14.25" customHeight="1" x14ac:dyDescent="0.35">
      <c r="D176" s="529"/>
      <c r="E176" s="529"/>
      <c r="K176" s="541"/>
      <c r="O176" s="529"/>
    </row>
    <row r="177" spans="4:15" ht="14.25" customHeight="1" x14ac:dyDescent="0.35">
      <c r="D177" s="529"/>
      <c r="E177" s="529"/>
      <c r="K177" s="541"/>
      <c r="O177" s="529"/>
    </row>
    <row r="178" spans="4:15" ht="14.25" customHeight="1" x14ac:dyDescent="0.35">
      <c r="D178" s="529"/>
      <c r="E178" s="529"/>
      <c r="K178" s="541"/>
      <c r="O178" s="529"/>
    </row>
    <row r="179" spans="4:15" ht="14.25" customHeight="1" x14ac:dyDescent="0.35">
      <c r="D179" s="529"/>
      <c r="E179" s="529"/>
      <c r="K179" s="541"/>
      <c r="O179" s="529"/>
    </row>
    <row r="180" spans="4:15" ht="14.25" customHeight="1" x14ac:dyDescent="0.35">
      <c r="D180" s="529"/>
      <c r="E180" s="529"/>
      <c r="K180" s="541"/>
      <c r="O180" s="529"/>
    </row>
    <row r="181" spans="4:15" ht="14.25" customHeight="1" x14ac:dyDescent="0.35">
      <c r="D181" s="529"/>
      <c r="E181" s="529"/>
      <c r="K181" s="541"/>
      <c r="O181" s="529"/>
    </row>
    <row r="182" spans="4:15" ht="14.25" customHeight="1" x14ac:dyDescent="0.35">
      <c r="D182" s="529"/>
      <c r="E182" s="529"/>
      <c r="K182" s="541"/>
      <c r="O182" s="529"/>
    </row>
    <row r="183" spans="4:15" ht="14.25" customHeight="1" x14ac:dyDescent="0.35">
      <c r="D183" s="529"/>
      <c r="E183" s="529"/>
      <c r="K183" s="541"/>
      <c r="O183" s="529"/>
    </row>
    <row r="184" spans="4:15" ht="14.25" customHeight="1" x14ac:dyDescent="0.35">
      <c r="D184" s="529"/>
      <c r="E184" s="529"/>
      <c r="K184" s="541"/>
      <c r="O184" s="529"/>
    </row>
    <row r="185" spans="4:15" ht="14.25" customHeight="1" x14ac:dyDescent="0.35">
      <c r="D185" s="529"/>
      <c r="E185" s="529"/>
      <c r="K185" s="541"/>
      <c r="O185" s="529"/>
    </row>
    <row r="186" spans="4:15" ht="14.25" customHeight="1" x14ac:dyDescent="0.35">
      <c r="D186" s="529"/>
      <c r="E186" s="529"/>
      <c r="K186" s="541"/>
      <c r="O186" s="529"/>
    </row>
    <row r="187" spans="4:15" ht="14.25" customHeight="1" x14ac:dyDescent="0.35">
      <c r="D187" s="529"/>
      <c r="E187" s="529"/>
      <c r="K187" s="541"/>
      <c r="O187" s="529"/>
    </row>
    <row r="188" spans="4:15" ht="14.25" customHeight="1" x14ac:dyDescent="0.35">
      <c r="D188" s="529"/>
      <c r="E188" s="529"/>
      <c r="K188" s="541"/>
      <c r="O188" s="529"/>
    </row>
    <row r="189" spans="4:15" ht="14.25" customHeight="1" x14ac:dyDescent="0.35">
      <c r="D189" s="529"/>
      <c r="E189" s="529"/>
      <c r="K189" s="541"/>
      <c r="O189" s="529"/>
    </row>
    <row r="190" spans="4:15" ht="14.25" customHeight="1" x14ac:dyDescent="0.35">
      <c r="D190" s="529"/>
      <c r="E190" s="529"/>
      <c r="K190" s="541"/>
      <c r="O190" s="529"/>
    </row>
    <row r="191" spans="4:15" ht="14.25" customHeight="1" x14ac:dyDescent="0.35">
      <c r="D191" s="529"/>
      <c r="E191" s="529"/>
      <c r="K191" s="541"/>
      <c r="O191" s="529"/>
    </row>
    <row r="192" spans="4:15" ht="14.25" customHeight="1" x14ac:dyDescent="0.35">
      <c r="D192" s="529"/>
      <c r="E192" s="529"/>
      <c r="K192" s="541"/>
      <c r="O192" s="529"/>
    </row>
    <row r="193" spans="4:15" ht="14.25" customHeight="1" x14ac:dyDescent="0.35">
      <c r="D193" s="529"/>
      <c r="E193" s="529"/>
      <c r="K193" s="541"/>
      <c r="O193" s="529"/>
    </row>
    <row r="194" spans="4:15" ht="14.25" customHeight="1" x14ac:dyDescent="0.35">
      <c r="D194" s="529"/>
      <c r="E194" s="529"/>
      <c r="K194" s="541"/>
      <c r="O194" s="529"/>
    </row>
    <row r="195" spans="4:15" ht="14.25" customHeight="1" x14ac:dyDescent="0.35">
      <c r="D195" s="529"/>
      <c r="E195" s="529"/>
      <c r="K195" s="541"/>
      <c r="O195" s="529"/>
    </row>
    <row r="196" spans="4:15" ht="14.25" customHeight="1" x14ac:dyDescent="0.35">
      <c r="D196" s="529"/>
      <c r="E196" s="529"/>
      <c r="K196" s="541"/>
      <c r="O196" s="529"/>
    </row>
    <row r="197" spans="4:15" ht="14.25" customHeight="1" x14ac:dyDescent="0.35">
      <c r="D197" s="529"/>
      <c r="E197" s="529"/>
      <c r="K197" s="541"/>
      <c r="O197" s="529"/>
    </row>
    <row r="198" spans="4:15" ht="14.25" customHeight="1" x14ac:dyDescent="0.35">
      <c r="D198" s="529"/>
      <c r="E198" s="529"/>
      <c r="K198" s="541"/>
      <c r="O198" s="529"/>
    </row>
    <row r="199" spans="4:15" ht="14.25" customHeight="1" x14ac:dyDescent="0.35">
      <c r="D199" s="529"/>
      <c r="E199" s="529"/>
      <c r="K199" s="541"/>
      <c r="O199" s="529"/>
    </row>
    <row r="200" spans="4:15" ht="14.25" customHeight="1" x14ac:dyDescent="0.35">
      <c r="D200" s="529"/>
      <c r="E200" s="529"/>
      <c r="K200" s="541"/>
      <c r="O200" s="529"/>
    </row>
    <row r="201" spans="4:15" ht="14.25" customHeight="1" x14ac:dyDescent="0.35">
      <c r="D201" s="529"/>
      <c r="E201" s="529"/>
      <c r="K201" s="541"/>
      <c r="O201" s="529"/>
    </row>
    <row r="202" spans="4:15" ht="14.25" customHeight="1" x14ac:dyDescent="0.35">
      <c r="D202" s="529"/>
      <c r="E202" s="529"/>
      <c r="K202" s="541"/>
      <c r="O202" s="529"/>
    </row>
    <row r="203" spans="4:15" ht="14.25" customHeight="1" x14ac:dyDescent="0.35">
      <c r="D203" s="529"/>
      <c r="E203" s="529"/>
      <c r="K203" s="541"/>
      <c r="O203" s="529"/>
    </row>
    <row r="204" spans="4:15" ht="14.25" customHeight="1" x14ac:dyDescent="0.35">
      <c r="D204" s="529"/>
      <c r="E204" s="529"/>
      <c r="K204" s="541"/>
      <c r="O204" s="529"/>
    </row>
    <row r="205" spans="4:15" ht="14.25" customHeight="1" x14ac:dyDescent="0.35">
      <c r="D205" s="529"/>
      <c r="E205" s="529"/>
      <c r="K205" s="541"/>
      <c r="O205" s="529"/>
    </row>
    <row r="206" spans="4:15" ht="14.25" customHeight="1" x14ac:dyDescent="0.35">
      <c r="D206" s="529"/>
      <c r="E206" s="529"/>
      <c r="K206" s="541"/>
      <c r="O206" s="529"/>
    </row>
    <row r="207" spans="4:15" ht="14.25" customHeight="1" x14ac:dyDescent="0.35">
      <c r="D207" s="529"/>
      <c r="E207" s="529"/>
      <c r="K207" s="541"/>
      <c r="O207" s="529"/>
    </row>
    <row r="208" spans="4:15" ht="14.25" customHeight="1" x14ac:dyDescent="0.35">
      <c r="D208" s="529"/>
      <c r="E208" s="529"/>
      <c r="K208" s="541"/>
      <c r="O208" s="529"/>
    </row>
    <row r="209" spans="4:15" ht="14.25" customHeight="1" x14ac:dyDescent="0.35">
      <c r="D209" s="529"/>
      <c r="E209" s="529"/>
      <c r="K209" s="541"/>
      <c r="O209" s="529"/>
    </row>
    <row r="210" spans="4:15" ht="14.25" customHeight="1" x14ac:dyDescent="0.35">
      <c r="D210" s="529"/>
      <c r="E210" s="529"/>
      <c r="K210" s="541"/>
      <c r="O210" s="529"/>
    </row>
    <row r="211" spans="4:15" ht="14.25" customHeight="1" x14ac:dyDescent="0.35">
      <c r="D211" s="529"/>
      <c r="E211" s="529"/>
      <c r="K211" s="541"/>
      <c r="O211" s="529"/>
    </row>
    <row r="212" spans="4:15" ht="14.25" customHeight="1" x14ac:dyDescent="0.35">
      <c r="D212" s="529"/>
      <c r="E212" s="529"/>
      <c r="K212" s="541"/>
      <c r="O212" s="529"/>
    </row>
    <row r="213" spans="4:15" ht="14.25" customHeight="1" x14ac:dyDescent="0.35">
      <c r="D213" s="529"/>
      <c r="E213" s="529"/>
      <c r="K213" s="541"/>
      <c r="O213" s="529"/>
    </row>
    <row r="214" spans="4:15" ht="14.25" customHeight="1" x14ac:dyDescent="0.35">
      <c r="D214" s="529"/>
      <c r="E214" s="529"/>
      <c r="K214" s="541"/>
      <c r="O214" s="529"/>
    </row>
    <row r="215" spans="4:15" ht="14.25" customHeight="1" x14ac:dyDescent="0.35">
      <c r="D215" s="529"/>
      <c r="E215" s="529"/>
      <c r="K215" s="541"/>
      <c r="O215" s="529"/>
    </row>
    <row r="216" spans="4:15" ht="14.25" customHeight="1" x14ac:dyDescent="0.35">
      <c r="D216" s="529"/>
      <c r="E216" s="529"/>
      <c r="K216" s="541"/>
      <c r="O216" s="529"/>
    </row>
    <row r="217" spans="4:15" ht="14.25" customHeight="1" x14ac:dyDescent="0.35">
      <c r="D217" s="529"/>
      <c r="E217" s="529"/>
      <c r="K217" s="541"/>
      <c r="O217" s="529"/>
    </row>
    <row r="218" spans="4:15" ht="14.25" customHeight="1" x14ac:dyDescent="0.35">
      <c r="D218" s="529"/>
      <c r="E218" s="529"/>
      <c r="K218" s="541"/>
      <c r="O218" s="529"/>
    </row>
    <row r="219" spans="4:15" ht="14.25" customHeight="1" x14ac:dyDescent="0.35">
      <c r="D219" s="529"/>
      <c r="E219" s="529"/>
      <c r="K219" s="541"/>
      <c r="O219" s="529"/>
    </row>
    <row r="220" spans="4:15" ht="14.25" customHeight="1" x14ac:dyDescent="0.35">
      <c r="D220" s="529"/>
      <c r="E220" s="529"/>
      <c r="K220" s="541"/>
      <c r="O220" s="529"/>
    </row>
    <row r="221" spans="4:15" ht="14.25" customHeight="1" x14ac:dyDescent="0.35">
      <c r="D221" s="529"/>
      <c r="E221" s="529"/>
      <c r="K221" s="541"/>
      <c r="O221" s="529"/>
    </row>
    <row r="222" spans="4:15" ht="14.25" customHeight="1" x14ac:dyDescent="0.35">
      <c r="D222" s="529"/>
      <c r="E222" s="529"/>
      <c r="K222" s="541"/>
      <c r="O222" s="529"/>
    </row>
    <row r="223" spans="4:15" ht="14.25" customHeight="1" x14ac:dyDescent="0.35">
      <c r="D223" s="529"/>
      <c r="E223" s="529"/>
      <c r="K223" s="541"/>
      <c r="O223" s="529"/>
    </row>
    <row r="224" spans="4:15" ht="14.25" customHeight="1" x14ac:dyDescent="0.35">
      <c r="D224" s="529"/>
      <c r="E224" s="529"/>
      <c r="K224" s="541"/>
      <c r="O224" s="529"/>
    </row>
    <row r="225" spans="4:15" ht="14.25" customHeight="1" x14ac:dyDescent="0.35">
      <c r="D225" s="529"/>
      <c r="E225" s="529"/>
      <c r="K225" s="541"/>
      <c r="O225" s="529"/>
    </row>
    <row r="226" spans="4:15" ht="14.25" customHeight="1" x14ac:dyDescent="0.35">
      <c r="D226" s="529"/>
      <c r="E226" s="529"/>
      <c r="K226" s="541"/>
      <c r="O226" s="529"/>
    </row>
    <row r="227" spans="4:15" ht="14.25" customHeight="1" x14ac:dyDescent="0.35">
      <c r="D227" s="529"/>
      <c r="E227" s="529"/>
      <c r="K227" s="541"/>
      <c r="O227" s="529"/>
    </row>
    <row r="228" spans="4:15" ht="14.25" customHeight="1" x14ac:dyDescent="0.35">
      <c r="D228" s="529"/>
      <c r="E228" s="529"/>
      <c r="K228" s="541"/>
      <c r="O228" s="529"/>
    </row>
    <row r="229" spans="4:15" ht="14.25" customHeight="1" x14ac:dyDescent="0.35">
      <c r="D229" s="529"/>
      <c r="E229" s="529"/>
      <c r="K229" s="541"/>
      <c r="O229" s="529"/>
    </row>
    <row r="230" spans="4:15" ht="14.25" customHeight="1" x14ac:dyDescent="0.35">
      <c r="D230" s="529"/>
      <c r="E230" s="529"/>
      <c r="K230" s="541"/>
      <c r="O230" s="529"/>
    </row>
    <row r="231" spans="4:15" ht="14.25" customHeight="1" x14ac:dyDescent="0.35">
      <c r="D231" s="529"/>
      <c r="E231" s="529"/>
      <c r="K231" s="541"/>
      <c r="O231" s="529"/>
    </row>
    <row r="232" spans="4:15" ht="14.25" customHeight="1" x14ac:dyDescent="0.35">
      <c r="D232" s="529"/>
      <c r="E232" s="529"/>
      <c r="K232" s="541"/>
      <c r="O232" s="529"/>
    </row>
    <row r="233" spans="4:15" ht="14.25" customHeight="1" x14ac:dyDescent="0.35">
      <c r="D233" s="529"/>
      <c r="E233" s="529"/>
      <c r="K233" s="541"/>
      <c r="O233" s="529"/>
    </row>
    <row r="234" spans="4:15" ht="14.25" customHeight="1" x14ac:dyDescent="0.35">
      <c r="D234" s="529"/>
      <c r="E234" s="529"/>
      <c r="K234" s="541"/>
      <c r="O234" s="529"/>
    </row>
    <row r="235" spans="4:15" ht="14.25" customHeight="1" x14ac:dyDescent="0.35">
      <c r="D235" s="529"/>
      <c r="E235" s="529"/>
      <c r="K235" s="541"/>
      <c r="O235" s="529"/>
    </row>
    <row r="236" spans="4:15" ht="14.25" customHeight="1" x14ac:dyDescent="0.35">
      <c r="D236" s="529"/>
      <c r="E236" s="529"/>
      <c r="K236" s="541"/>
      <c r="O236" s="529"/>
    </row>
    <row r="237" spans="4:15" ht="14.25" customHeight="1" x14ac:dyDescent="0.35">
      <c r="D237" s="529"/>
      <c r="E237" s="529"/>
      <c r="K237" s="541"/>
      <c r="O237" s="529"/>
    </row>
    <row r="238" spans="4:15" ht="14.25" customHeight="1" x14ac:dyDescent="0.35">
      <c r="D238" s="529"/>
      <c r="E238" s="529"/>
      <c r="K238" s="541"/>
      <c r="O238" s="529"/>
    </row>
    <row r="239" spans="4:15" ht="14.25" customHeight="1" x14ac:dyDescent="0.35">
      <c r="D239" s="529"/>
      <c r="E239" s="529"/>
      <c r="K239" s="541"/>
      <c r="O239" s="529"/>
    </row>
    <row r="240" spans="4:15" ht="14.25" customHeight="1" x14ac:dyDescent="0.35">
      <c r="D240" s="529"/>
      <c r="E240" s="529"/>
      <c r="K240" s="541"/>
      <c r="O240" s="529"/>
    </row>
    <row r="241" spans="4:15" ht="14.25" customHeight="1" x14ac:dyDescent="0.35">
      <c r="D241" s="529"/>
      <c r="E241" s="529"/>
      <c r="K241" s="541"/>
      <c r="O241" s="529"/>
    </row>
    <row r="242" spans="4:15" ht="14.25" customHeight="1" x14ac:dyDescent="0.35">
      <c r="D242" s="529"/>
      <c r="E242" s="529"/>
      <c r="K242" s="541"/>
      <c r="O242" s="529"/>
    </row>
    <row r="243" spans="4:15" ht="14.25" customHeight="1" x14ac:dyDescent="0.35">
      <c r="D243" s="529"/>
      <c r="E243" s="529"/>
      <c r="K243" s="541"/>
      <c r="O243" s="529"/>
    </row>
    <row r="244" spans="4:15" ht="14.25" customHeight="1" x14ac:dyDescent="0.35">
      <c r="D244" s="529"/>
      <c r="E244" s="529"/>
      <c r="K244" s="541"/>
      <c r="O244" s="529"/>
    </row>
    <row r="245" spans="4:15" ht="14.25" customHeight="1" x14ac:dyDescent="0.35">
      <c r="D245" s="529"/>
      <c r="E245" s="529"/>
      <c r="K245" s="541"/>
      <c r="O245" s="529"/>
    </row>
    <row r="246" spans="4:15" ht="14.25" customHeight="1" x14ac:dyDescent="0.35">
      <c r="D246" s="529"/>
      <c r="E246" s="529"/>
      <c r="K246" s="541"/>
      <c r="O246" s="529"/>
    </row>
    <row r="247" spans="4:15" ht="14.25" customHeight="1" x14ac:dyDescent="0.35">
      <c r="D247" s="529"/>
      <c r="E247" s="529"/>
      <c r="K247" s="541"/>
      <c r="O247" s="529"/>
    </row>
    <row r="248" spans="4:15" ht="14.25" customHeight="1" x14ac:dyDescent="0.35">
      <c r="D248" s="529"/>
      <c r="E248" s="529"/>
      <c r="K248" s="541"/>
      <c r="O248" s="529"/>
    </row>
    <row r="249" spans="4:15" ht="14.25" customHeight="1" x14ac:dyDescent="0.35">
      <c r="D249" s="529"/>
      <c r="E249" s="529"/>
      <c r="K249" s="541"/>
      <c r="O249" s="529"/>
    </row>
    <row r="250" spans="4:15" ht="14.25" customHeight="1" x14ac:dyDescent="0.35">
      <c r="D250" s="529"/>
      <c r="E250" s="529"/>
      <c r="K250" s="541"/>
      <c r="O250" s="529"/>
    </row>
    <row r="251" spans="4:15" ht="14.25" customHeight="1" x14ac:dyDescent="0.35">
      <c r="D251" s="529"/>
      <c r="E251" s="529"/>
      <c r="K251" s="541"/>
      <c r="O251" s="529"/>
    </row>
    <row r="252" spans="4:15" ht="14.25" customHeight="1" x14ac:dyDescent="0.35">
      <c r="D252" s="529"/>
      <c r="E252" s="529"/>
      <c r="K252" s="541"/>
      <c r="O252" s="529"/>
    </row>
    <row r="253" spans="4:15" ht="14.25" customHeight="1" x14ac:dyDescent="0.35">
      <c r="D253" s="529"/>
      <c r="E253" s="529"/>
      <c r="K253" s="541"/>
      <c r="O253" s="529"/>
    </row>
    <row r="254" spans="4:15" ht="14.25" customHeight="1" x14ac:dyDescent="0.35">
      <c r="D254" s="529"/>
      <c r="E254" s="529"/>
      <c r="K254" s="541"/>
      <c r="O254" s="529"/>
    </row>
    <row r="255" spans="4:15" ht="14.25" customHeight="1" x14ac:dyDescent="0.35">
      <c r="D255" s="529"/>
      <c r="E255" s="529"/>
      <c r="K255" s="541"/>
      <c r="O255" s="529"/>
    </row>
    <row r="256" spans="4:15" ht="14.25" customHeight="1" x14ac:dyDescent="0.35">
      <c r="D256" s="529"/>
      <c r="E256" s="529"/>
      <c r="K256" s="541"/>
      <c r="O256" s="529"/>
    </row>
    <row r="257" spans="4:15" ht="14.25" customHeight="1" x14ac:dyDescent="0.35">
      <c r="D257" s="529"/>
      <c r="E257" s="529"/>
      <c r="K257" s="541"/>
      <c r="O257" s="529"/>
    </row>
    <row r="258" spans="4:15" ht="14.25" customHeight="1" x14ac:dyDescent="0.35">
      <c r="D258" s="529"/>
      <c r="E258" s="529"/>
      <c r="K258" s="541"/>
      <c r="O258" s="529"/>
    </row>
    <row r="259" spans="4:15" ht="14.25" customHeight="1" x14ac:dyDescent="0.35">
      <c r="D259" s="529"/>
      <c r="E259" s="529"/>
      <c r="K259" s="541"/>
      <c r="O259" s="529"/>
    </row>
    <row r="260" spans="4:15" ht="14.25" customHeight="1" x14ac:dyDescent="0.35">
      <c r="D260" s="529"/>
      <c r="E260" s="529"/>
      <c r="K260" s="541"/>
      <c r="O260" s="529"/>
    </row>
    <row r="261" spans="4:15" ht="14.25" customHeight="1" x14ac:dyDescent="0.35">
      <c r="D261" s="529"/>
      <c r="E261" s="529"/>
      <c r="K261" s="541"/>
      <c r="O261" s="529"/>
    </row>
    <row r="262" spans="4:15" ht="14.25" customHeight="1" x14ac:dyDescent="0.35">
      <c r="D262" s="529"/>
      <c r="E262" s="529"/>
      <c r="K262" s="541"/>
      <c r="O262" s="529"/>
    </row>
    <row r="263" spans="4:15" ht="14.25" customHeight="1" x14ac:dyDescent="0.35">
      <c r="D263" s="529"/>
      <c r="E263" s="529"/>
      <c r="K263" s="541"/>
      <c r="O263" s="529"/>
    </row>
    <row r="264" spans="4:15" ht="14.25" customHeight="1" x14ac:dyDescent="0.35">
      <c r="D264" s="529"/>
      <c r="E264" s="529"/>
      <c r="K264" s="541"/>
      <c r="O264" s="529"/>
    </row>
    <row r="265" spans="4:15" ht="14.25" customHeight="1" x14ac:dyDescent="0.35">
      <c r="D265" s="529"/>
      <c r="E265" s="529"/>
      <c r="K265" s="541"/>
      <c r="O265" s="529"/>
    </row>
    <row r="266" spans="4:15" ht="14.25" customHeight="1" x14ac:dyDescent="0.35">
      <c r="D266" s="529"/>
      <c r="E266" s="529"/>
      <c r="K266" s="541"/>
      <c r="O266" s="529"/>
    </row>
    <row r="267" spans="4:15" ht="14.25" customHeight="1" x14ac:dyDescent="0.35">
      <c r="D267" s="529"/>
      <c r="E267" s="529"/>
      <c r="K267" s="541"/>
      <c r="O267" s="529"/>
    </row>
    <row r="268" spans="4:15" ht="14.25" customHeight="1" x14ac:dyDescent="0.35">
      <c r="D268" s="529"/>
      <c r="E268" s="529"/>
      <c r="K268" s="541"/>
      <c r="O268" s="529"/>
    </row>
    <row r="269" spans="4:15" ht="14.25" customHeight="1" x14ac:dyDescent="0.35">
      <c r="D269" s="529"/>
      <c r="E269" s="529"/>
      <c r="K269" s="541"/>
      <c r="O269" s="529"/>
    </row>
    <row r="270" spans="4:15" ht="14.25" customHeight="1" x14ac:dyDescent="0.35">
      <c r="D270" s="529"/>
      <c r="E270" s="529"/>
      <c r="K270" s="541"/>
      <c r="O270" s="529"/>
    </row>
    <row r="271" spans="4:15" ht="14.25" customHeight="1" x14ac:dyDescent="0.35">
      <c r="D271" s="529"/>
      <c r="E271" s="529"/>
      <c r="K271" s="541"/>
      <c r="O271" s="529"/>
    </row>
    <row r="272" spans="4:15" ht="14.25" customHeight="1" x14ac:dyDescent="0.35">
      <c r="D272" s="529"/>
      <c r="E272" s="529"/>
      <c r="K272" s="541"/>
      <c r="O272" s="529"/>
    </row>
    <row r="273" spans="4:15" ht="14.25" customHeight="1" x14ac:dyDescent="0.35">
      <c r="D273" s="529"/>
      <c r="E273" s="529"/>
      <c r="K273" s="541"/>
      <c r="O273" s="529"/>
    </row>
    <row r="274" spans="4:15" ht="14.25" customHeight="1" x14ac:dyDescent="0.35">
      <c r="D274" s="529"/>
      <c r="E274" s="529"/>
      <c r="K274" s="541"/>
      <c r="O274" s="529"/>
    </row>
    <row r="275" spans="4:15" ht="14.25" customHeight="1" x14ac:dyDescent="0.35">
      <c r="D275" s="529"/>
      <c r="E275" s="529"/>
      <c r="K275" s="541"/>
      <c r="O275" s="529"/>
    </row>
    <row r="276" spans="4:15" ht="14.25" customHeight="1" x14ac:dyDescent="0.35">
      <c r="D276" s="529"/>
      <c r="E276" s="529"/>
      <c r="K276" s="541"/>
      <c r="O276" s="529"/>
    </row>
    <row r="277" spans="4:15" ht="14.25" customHeight="1" x14ac:dyDescent="0.35">
      <c r="D277" s="529"/>
      <c r="E277" s="529"/>
      <c r="K277" s="541"/>
      <c r="O277" s="529"/>
    </row>
    <row r="278" spans="4:15" ht="14.25" customHeight="1" x14ac:dyDescent="0.35">
      <c r="D278" s="529"/>
      <c r="E278" s="529"/>
      <c r="K278" s="541"/>
      <c r="O278" s="529"/>
    </row>
    <row r="279" spans="4:15" ht="14.25" customHeight="1" x14ac:dyDescent="0.35">
      <c r="D279" s="529"/>
      <c r="E279" s="529"/>
      <c r="K279" s="541"/>
      <c r="O279" s="529"/>
    </row>
    <row r="280" spans="4:15" ht="14.25" customHeight="1" x14ac:dyDescent="0.35">
      <c r="D280" s="529"/>
      <c r="E280" s="529"/>
      <c r="K280" s="541"/>
      <c r="O280" s="529"/>
    </row>
    <row r="281" spans="4:15" ht="14.25" customHeight="1" x14ac:dyDescent="0.35">
      <c r="D281" s="529"/>
      <c r="E281" s="529"/>
      <c r="K281" s="541"/>
      <c r="O281" s="529"/>
    </row>
    <row r="282" spans="4:15" ht="14.25" customHeight="1" x14ac:dyDescent="0.35">
      <c r="D282" s="529"/>
      <c r="E282" s="529"/>
      <c r="K282" s="541"/>
      <c r="O282" s="529"/>
    </row>
    <row r="283" spans="4:15" ht="14.25" customHeight="1" x14ac:dyDescent="0.35">
      <c r="D283" s="529"/>
      <c r="E283" s="529"/>
      <c r="K283" s="541"/>
      <c r="O283" s="529"/>
    </row>
    <row r="284" spans="4:15" ht="14.25" customHeight="1" x14ac:dyDescent="0.35">
      <c r="D284" s="529"/>
      <c r="E284" s="529"/>
      <c r="K284" s="541"/>
      <c r="O284" s="529"/>
    </row>
    <row r="285" spans="4:15" ht="14.25" customHeight="1" x14ac:dyDescent="0.35">
      <c r="D285" s="529"/>
      <c r="E285" s="529"/>
      <c r="K285" s="541"/>
      <c r="O285" s="529"/>
    </row>
    <row r="286" spans="4:15" ht="14.25" customHeight="1" x14ac:dyDescent="0.35">
      <c r="D286" s="529"/>
      <c r="E286" s="529"/>
      <c r="K286" s="541"/>
      <c r="O286" s="529"/>
    </row>
    <row r="287" spans="4:15" ht="14.25" customHeight="1" x14ac:dyDescent="0.35">
      <c r="D287" s="529"/>
      <c r="E287" s="529"/>
      <c r="K287" s="541"/>
      <c r="O287" s="529"/>
    </row>
    <row r="288" spans="4:15" ht="14.25" customHeight="1" x14ac:dyDescent="0.35">
      <c r="D288" s="529"/>
      <c r="E288" s="529"/>
      <c r="K288" s="541"/>
      <c r="O288" s="529"/>
    </row>
    <row r="289" spans="4:15" ht="14.25" customHeight="1" x14ac:dyDescent="0.35">
      <c r="D289" s="529"/>
      <c r="E289" s="529"/>
      <c r="K289" s="541"/>
      <c r="O289" s="529"/>
    </row>
    <row r="290" spans="4:15" ht="14.25" customHeight="1" x14ac:dyDescent="0.35">
      <c r="D290" s="529"/>
      <c r="E290" s="529"/>
      <c r="K290" s="541"/>
      <c r="O290" s="529"/>
    </row>
    <row r="291" spans="4:15" ht="14.25" customHeight="1" x14ac:dyDescent="0.35">
      <c r="D291" s="529"/>
      <c r="E291" s="529"/>
      <c r="K291" s="541"/>
      <c r="O291" s="529"/>
    </row>
    <row r="292" spans="4:15" ht="14.25" customHeight="1" x14ac:dyDescent="0.35">
      <c r="D292" s="529"/>
      <c r="E292" s="529"/>
      <c r="K292" s="541"/>
      <c r="O292" s="529"/>
    </row>
    <row r="293" spans="4:15" ht="14.25" customHeight="1" x14ac:dyDescent="0.35">
      <c r="D293" s="529"/>
      <c r="E293" s="529"/>
      <c r="K293" s="541"/>
      <c r="O293" s="529"/>
    </row>
    <row r="294" spans="4:15" ht="14.25" customHeight="1" x14ac:dyDescent="0.35">
      <c r="D294" s="529"/>
      <c r="E294" s="529"/>
      <c r="K294" s="541"/>
      <c r="O294" s="529"/>
    </row>
    <row r="295" spans="4:15" ht="14.25" customHeight="1" x14ac:dyDescent="0.35">
      <c r="D295" s="529"/>
      <c r="E295" s="529"/>
      <c r="K295" s="541"/>
      <c r="O295" s="529"/>
    </row>
    <row r="296" spans="4:15" ht="14.25" customHeight="1" x14ac:dyDescent="0.35">
      <c r="D296" s="529"/>
      <c r="E296" s="529"/>
      <c r="K296" s="541"/>
      <c r="O296" s="529"/>
    </row>
    <row r="297" spans="4:15" ht="14.25" customHeight="1" x14ac:dyDescent="0.35">
      <c r="D297" s="529"/>
      <c r="E297" s="529"/>
      <c r="K297" s="541"/>
      <c r="O297" s="529"/>
    </row>
    <row r="298" spans="4:15" ht="14.25" customHeight="1" x14ac:dyDescent="0.35">
      <c r="D298" s="529"/>
      <c r="E298" s="529"/>
      <c r="K298" s="541"/>
      <c r="O298" s="529"/>
    </row>
    <row r="299" spans="4:15" ht="14.25" customHeight="1" x14ac:dyDescent="0.35">
      <c r="D299" s="529"/>
      <c r="E299" s="529"/>
      <c r="K299" s="541"/>
      <c r="O299" s="529"/>
    </row>
    <row r="300" spans="4:15" ht="14.25" customHeight="1" x14ac:dyDescent="0.35">
      <c r="D300" s="529"/>
      <c r="E300" s="529"/>
      <c r="K300" s="541"/>
      <c r="O300" s="529"/>
    </row>
    <row r="301" spans="4:15" ht="14.25" customHeight="1" x14ac:dyDescent="0.35">
      <c r="D301" s="529"/>
      <c r="E301" s="529"/>
      <c r="K301" s="541"/>
      <c r="O301" s="529"/>
    </row>
    <row r="302" spans="4:15" ht="14.25" customHeight="1" x14ac:dyDescent="0.35">
      <c r="D302" s="529"/>
      <c r="E302" s="529"/>
      <c r="K302" s="541"/>
      <c r="O302" s="529"/>
    </row>
    <row r="303" spans="4:15" ht="14.25" customHeight="1" x14ac:dyDescent="0.35">
      <c r="D303" s="529"/>
      <c r="E303" s="529"/>
      <c r="K303" s="541"/>
      <c r="O303" s="529"/>
    </row>
    <row r="304" spans="4:15" ht="14.25" customHeight="1" x14ac:dyDescent="0.35">
      <c r="D304" s="529"/>
      <c r="E304" s="529"/>
      <c r="K304" s="541"/>
      <c r="O304" s="529"/>
    </row>
    <row r="305" spans="4:15" ht="14.25" customHeight="1" x14ac:dyDescent="0.35">
      <c r="D305" s="529"/>
      <c r="E305" s="529"/>
      <c r="K305" s="541"/>
      <c r="O305" s="529"/>
    </row>
    <row r="306" spans="4:15" ht="14.25" customHeight="1" x14ac:dyDescent="0.35">
      <c r="D306" s="529"/>
      <c r="E306" s="529"/>
      <c r="K306" s="541"/>
      <c r="O306" s="529"/>
    </row>
    <row r="307" spans="4:15" ht="14.25" customHeight="1" x14ac:dyDescent="0.35">
      <c r="D307" s="529"/>
      <c r="E307" s="529"/>
      <c r="K307" s="541"/>
      <c r="O307" s="529"/>
    </row>
    <row r="308" spans="4:15" ht="14.25" customHeight="1" x14ac:dyDescent="0.35">
      <c r="D308" s="529"/>
      <c r="E308" s="529"/>
      <c r="K308" s="541"/>
      <c r="O308" s="529"/>
    </row>
    <row r="309" spans="4:15" ht="14.25" customHeight="1" x14ac:dyDescent="0.35">
      <c r="D309" s="529"/>
      <c r="E309" s="529"/>
      <c r="K309" s="541"/>
      <c r="O309" s="529"/>
    </row>
    <row r="310" spans="4:15" ht="14.25" customHeight="1" x14ac:dyDescent="0.35">
      <c r="D310" s="529"/>
      <c r="E310" s="529"/>
      <c r="K310" s="541"/>
      <c r="O310" s="529"/>
    </row>
    <row r="311" spans="4:15" ht="14.25" customHeight="1" x14ac:dyDescent="0.35">
      <c r="D311" s="529"/>
      <c r="E311" s="529"/>
      <c r="K311" s="541"/>
      <c r="O311" s="529"/>
    </row>
    <row r="312" spans="4:15" ht="14.25" customHeight="1" x14ac:dyDescent="0.35">
      <c r="D312" s="529"/>
      <c r="E312" s="529"/>
      <c r="K312" s="541"/>
      <c r="O312" s="529"/>
    </row>
    <row r="313" spans="4:15" ht="14.25" customHeight="1" x14ac:dyDescent="0.35">
      <c r="D313" s="529"/>
      <c r="E313" s="529"/>
      <c r="K313" s="541"/>
      <c r="O313" s="529"/>
    </row>
    <row r="314" spans="4:15" ht="14.25" customHeight="1" x14ac:dyDescent="0.35">
      <c r="D314" s="529"/>
      <c r="E314" s="529"/>
      <c r="K314" s="541"/>
      <c r="O314" s="529"/>
    </row>
    <row r="315" spans="4:15" ht="14.25" customHeight="1" x14ac:dyDescent="0.35">
      <c r="D315" s="529"/>
      <c r="E315" s="529"/>
      <c r="K315" s="541"/>
      <c r="O315" s="529"/>
    </row>
    <row r="316" spans="4:15" ht="14.25" customHeight="1" x14ac:dyDescent="0.35">
      <c r="D316" s="529"/>
      <c r="E316" s="529"/>
      <c r="K316" s="541"/>
      <c r="O316" s="529"/>
    </row>
    <row r="317" spans="4:15" ht="14.25" customHeight="1" x14ac:dyDescent="0.35">
      <c r="D317" s="529"/>
      <c r="E317" s="529"/>
      <c r="K317" s="541"/>
      <c r="O317" s="529"/>
    </row>
    <row r="318" spans="4:15" ht="14.25" customHeight="1" x14ac:dyDescent="0.35">
      <c r="D318" s="529"/>
      <c r="E318" s="529"/>
      <c r="K318" s="541"/>
      <c r="O318" s="529"/>
    </row>
    <row r="319" spans="4:15" ht="14.25" customHeight="1" x14ac:dyDescent="0.35">
      <c r="D319" s="529"/>
      <c r="E319" s="529"/>
      <c r="K319" s="541"/>
      <c r="O319" s="529"/>
    </row>
    <row r="320" spans="4:15" ht="14.25" customHeight="1" x14ac:dyDescent="0.35">
      <c r="D320" s="529"/>
      <c r="E320" s="529"/>
      <c r="K320" s="541"/>
      <c r="O320" s="529"/>
    </row>
    <row r="321" spans="4:15" ht="14.25" customHeight="1" x14ac:dyDescent="0.35">
      <c r="D321" s="529"/>
      <c r="E321" s="529"/>
      <c r="K321" s="541"/>
      <c r="O321" s="529"/>
    </row>
    <row r="322" spans="4:15" ht="14.25" customHeight="1" x14ac:dyDescent="0.35">
      <c r="D322" s="529"/>
      <c r="E322" s="529"/>
      <c r="K322" s="541"/>
      <c r="O322" s="529"/>
    </row>
    <row r="323" spans="4:15" ht="14.25" customHeight="1" x14ac:dyDescent="0.35">
      <c r="D323" s="529"/>
      <c r="E323" s="529"/>
      <c r="K323" s="541"/>
      <c r="O323" s="529"/>
    </row>
    <row r="324" spans="4:15" ht="14.25" customHeight="1" x14ac:dyDescent="0.35">
      <c r="D324" s="529"/>
      <c r="E324" s="529"/>
      <c r="K324" s="541"/>
      <c r="O324" s="529"/>
    </row>
    <row r="325" spans="4:15" ht="14.25" customHeight="1" x14ac:dyDescent="0.35">
      <c r="D325" s="529"/>
      <c r="E325" s="529"/>
      <c r="K325" s="541"/>
      <c r="O325" s="529"/>
    </row>
    <row r="326" spans="4:15" ht="14.25" customHeight="1" x14ac:dyDescent="0.35">
      <c r="D326" s="529"/>
      <c r="E326" s="529"/>
      <c r="K326" s="541"/>
      <c r="O326" s="529"/>
    </row>
    <row r="327" spans="4:15" ht="14.25" customHeight="1" x14ac:dyDescent="0.35">
      <c r="D327" s="529"/>
      <c r="E327" s="529"/>
      <c r="K327" s="541"/>
      <c r="O327" s="529"/>
    </row>
    <row r="328" spans="4:15" ht="14.25" customHeight="1" x14ac:dyDescent="0.35">
      <c r="D328" s="529"/>
      <c r="E328" s="529"/>
      <c r="K328" s="541"/>
      <c r="O328" s="529"/>
    </row>
    <row r="329" spans="4:15" ht="14.25" customHeight="1" x14ac:dyDescent="0.35">
      <c r="D329" s="529"/>
      <c r="E329" s="529"/>
      <c r="K329" s="541"/>
      <c r="O329" s="529"/>
    </row>
    <row r="330" spans="4:15" ht="14.25" customHeight="1" x14ac:dyDescent="0.35">
      <c r="D330" s="529"/>
      <c r="E330" s="529"/>
      <c r="K330" s="541"/>
      <c r="O330" s="529"/>
    </row>
    <row r="331" spans="4:15" ht="14.25" customHeight="1" x14ac:dyDescent="0.35">
      <c r="D331" s="529"/>
      <c r="E331" s="529"/>
      <c r="K331" s="541"/>
      <c r="O331" s="529"/>
    </row>
    <row r="332" spans="4:15" ht="14.25" customHeight="1" x14ac:dyDescent="0.35">
      <c r="D332" s="529"/>
      <c r="E332" s="529"/>
      <c r="K332" s="541"/>
      <c r="O332" s="529"/>
    </row>
    <row r="333" spans="4:15" ht="14.25" customHeight="1" x14ac:dyDescent="0.35">
      <c r="D333" s="529"/>
      <c r="E333" s="529"/>
      <c r="K333" s="541"/>
      <c r="O333" s="529"/>
    </row>
    <row r="334" spans="4:15" ht="14.25" customHeight="1" x14ac:dyDescent="0.35">
      <c r="D334" s="529"/>
      <c r="E334" s="529"/>
      <c r="K334" s="541"/>
      <c r="O334" s="529"/>
    </row>
    <row r="335" spans="4:15" ht="14.25" customHeight="1" x14ac:dyDescent="0.35">
      <c r="D335" s="529"/>
      <c r="E335" s="529"/>
      <c r="K335" s="541"/>
      <c r="O335" s="529"/>
    </row>
    <row r="336" spans="4:15" ht="14.25" customHeight="1" x14ac:dyDescent="0.35">
      <c r="D336" s="529"/>
      <c r="E336" s="529"/>
      <c r="K336" s="541"/>
      <c r="O336" s="529"/>
    </row>
    <row r="337" spans="4:15" ht="14.25" customHeight="1" x14ac:dyDescent="0.35">
      <c r="D337" s="529"/>
      <c r="E337" s="529"/>
      <c r="K337" s="541"/>
      <c r="O337" s="529"/>
    </row>
    <row r="338" spans="4:15" ht="14.25" customHeight="1" x14ac:dyDescent="0.35">
      <c r="D338" s="529"/>
      <c r="E338" s="529"/>
      <c r="K338" s="541"/>
      <c r="O338" s="529"/>
    </row>
    <row r="339" spans="4:15" ht="14.25" customHeight="1" x14ac:dyDescent="0.35">
      <c r="D339" s="529"/>
      <c r="E339" s="529"/>
      <c r="K339" s="541"/>
      <c r="O339" s="529"/>
    </row>
    <row r="340" spans="4:15" ht="14.25" customHeight="1" x14ac:dyDescent="0.35">
      <c r="D340" s="529"/>
      <c r="E340" s="529"/>
      <c r="K340" s="541"/>
      <c r="O340" s="529"/>
    </row>
    <row r="341" spans="4:15" ht="14.25" customHeight="1" x14ac:dyDescent="0.35">
      <c r="D341" s="529"/>
      <c r="E341" s="529"/>
      <c r="K341" s="541"/>
      <c r="O341" s="529"/>
    </row>
    <row r="342" spans="4:15" ht="14.25" customHeight="1" x14ac:dyDescent="0.35">
      <c r="D342" s="529"/>
      <c r="E342" s="529"/>
      <c r="K342" s="541"/>
      <c r="O342" s="529"/>
    </row>
    <row r="343" spans="4:15" ht="14.25" customHeight="1" x14ac:dyDescent="0.35">
      <c r="D343" s="529"/>
      <c r="E343" s="529"/>
      <c r="K343" s="541"/>
      <c r="O343" s="529"/>
    </row>
    <row r="344" spans="4:15" ht="14.25" customHeight="1" x14ac:dyDescent="0.35">
      <c r="D344" s="529"/>
      <c r="E344" s="529"/>
      <c r="K344" s="541"/>
      <c r="O344" s="529"/>
    </row>
    <row r="345" spans="4:15" ht="14.25" customHeight="1" x14ac:dyDescent="0.35">
      <c r="D345" s="529"/>
      <c r="E345" s="529"/>
      <c r="K345" s="541"/>
      <c r="O345" s="529"/>
    </row>
    <row r="346" spans="4:15" ht="14.25" customHeight="1" x14ac:dyDescent="0.35">
      <c r="D346" s="529"/>
      <c r="E346" s="529"/>
      <c r="K346" s="541"/>
      <c r="O346" s="529"/>
    </row>
    <row r="347" spans="4:15" ht="14.25" customHeight="1" x14ac:dyDescent="0.35">
      <c r="D347" s="529"/>
      <c r="E347" s="529"/>
      <c r="K347" s="541"/>
      <c r="O347" s="529"/>
    </row>
    <row r="348" spans="4:15" ht="14.25" customHeight="1" x14ac:dyDescent="0.35">
      <c r="D348" s="529"/>
      <c r="E348" s="529"/>
      <c r="K348" s="541"/>
      <c r="O348" s="529"/>
    </row>
    <row r="349" spans="4:15" ht="14.25" customHeight="1" x14ac:dyDescent="0.35">
      <c r="D349" s="529"/>
      <c r="E349" s="529"/>
      <c r="K349" s="541"/>
      <c r="O349" s="529"/>
    </row>
    <row r="350" spans="4:15" ht="14.25" customHeight="1" x14ac:dyDescent="0.35">
      <c r="D350" s="529"/>
      <c r="E350" s="529"/>
      <c r="K350" s="541"/>
      <c r="O350" s="529"/>
    </row>
    <row r="351" spans="4:15" ht="14.25" customHeight="1" x14ac:dyDescent="0.35">
      <c r="D351" s="529"/>
      <c r="E351" s="529"/>
      <c r="K351" s="541"/>
      <c r="O351" s="529"/>
    </row>
    <row r="352" spans="4:15" ht="14.25" customHeight="1" x14ac:dyDescent="0.35">
      <c r="D352" s="529"/>
      <c r="E352" s="529"/>
      <c r="K352" s="541"/>
      <c r="O352" s="529"/>
    </row>
    <row r="353" spans="4:15" ht="14.25" customHeight="1" x14ac:dyDescent="0.35">
      <c r="D353" s="529"/>
      <c r="E353" s="529"/>
      <c r="K353" s="541"/>
      <c r="O353" s="529"/>
    </row>
    <row r="354" spans="4:15" ht="14.25" customHeight="1" x14ac:dyDescent="0.35">
      <c r="D354" s="529"/>
      <c r="E354" s="529"/>
      <c r="K354" s="541"/>
      <c r="O354" s="529"/>
    </row>
    <row r="355" spans="4:15" ht="14.25" customHeight="1" x14ac:dyDescent="0.35">
      <c r="D355" s="529"/>
      <c r="E355" s="529"/>
      <c r="K355" s="541"/>
      <c r="O355" s="529"/>
    </row>
    <row r="356" spans="4:15" ht="14.25" customHeight="1" x14ac:dyDescent="0.35">
      <c r="D356" s="529"/>
      <c r="E356" s="529"/>
      <c r="K356" s="541"/>
      <c r="O356" s="529"/>
    </row>
    <row r="357" spans="4:15" ht="14.25" customHeight="1" x14ac:dyDescent="0.35">
      <c r="D357" s="529"/>
      <c r="E357" s="529"/>
      <c r="K357" s="541"/>
      <c r="O357" s="529"/>
    </row>
    <row r="358" spans="4:15" ht="14.25" customHeight="1" x14ac:dyDescent="0.35">
      <c r="D358" s="529"/>
      <c r="E358" s="529"/>
      <c r="K358" s="541"/>
      <c r="O358" s="529"/>
    </row>
    <row r="359" spans="4:15" ht="14.25" customHeight="1" x14ac:dyDescent="0.35">
      <c r="D359" s="529"/>
      <c r="E359" s="529"/>
      <c r="K359" s="541"/>
      <c r="O359" s="529"/>
    </row>
    <row r="360" spans="4:15" ht="14.25" customHeight="1" x14ac:dyDescent="0.35">
      <c r="D360" s="529"/>
      <c r="E360" s="529"/>
      <c r="K360" s="541"/>
      <c r="O360" s="529"/>
    </row>
    <row r="361" spans="4:15" ht="14.25" customHeight="1" x14ac:dyDescent="0.35">
      <c r="D361" s="529"/>
      <c r="E361" s="529"/>
      <c r="K361" s="541"/>
      <c r="O361" s="529"/>
    </row>
    <row r="362" spans="4:15" ht="14.25" customHeight="1" x14ac:dyDescent="0.35">
      <c r="D362" s="529"/>
      <c r="E362" s="529"/>
      <c r="K362" s="541"/>
      <c r="O362" s="529"/>
    </row>
    <row r="363" spans="4:15" ht="14.25" customHeight="1" x14ac:dyDescent="0.35">
      <c r="D363" s="529"/>
      <c r="E363" s="529"/>
      <c r="K363" s="541"/>
      <c r="O363" s="529"/>
    </row>
    <row r="364" spans="4:15" ht="14.25" customHeight="1" x14ac:dyDescent="0.35">
      <c r="D364" s="529"/>
      <c r="E364" s="529"/>
      <c r="K364" s="541"/>
      <c r="O364" s="529"/>
    </row>
    <row r="365" spans="4:15" ht="14.25" customHeight="1" x14ac:dyDescent="0.35">
      <c r="D365" s="529"/>
      <c r="E365" s="529"/>
      <c r="K365" s="541"/>
      <c r="O365" s="529"/>
    </row>
    <row r="366" spans="4:15" ht="14.25" customHeight="1" x14ac:dyDescent="0.35">
      <c r="D366" s="529"/>
      <c r="E366" s="529"/>
      <c r="K366" s="541"/>
      <c r="O366" s="529"/>
    </row>
    <row r="367" spans="4:15" ht="14.25" customHeight="1" x14ac:dyDescent="0.35">
      <c r="D367" s="529"/>
      <c r="E367" s="529"/>
      <c r="K367" s="541"/>
      <c r="O367" s="529"/>
    </row>
    <row r="368" spans="4:15" ht="14.25" customHeight="1" x14ac:dyDescent="0.35">
      <c r="D368" s="529"/>
      <c r="E368" s="529"/>
      <c r="K368" s="541"/>
      <c r="O368" s="529"/>
    </row>
    <row r="369" spans="4:15" ht="14.25" customHeight="1" x14ac:dyDescent="0.35">
      <c r="D369" s="529"/>
      <c r="E369" s="529"/>
      <c r="K369" s="541"/>
      <c r="O369" s="529"/>
    </row>
    <row r="370" spans="4:15" ht="14.25" customHeight="1" x14ac:dyDescent="0.35">
      <c r="D370" s="529"/>
      <c r="E370" s="529"/>
      <c r="K370" s="541"/>
      <c r="O370" s="529"/>
    </row>
    <row r="371" spans="4:15" ht="14.25" customHeight="1" x14ac:dyDescent="0.35">
      <c r="D371" s="529"/>
      <c r="E371" s="529"/>
      <c r="K371" s="541"/>
      <c r="O371" s="529"/>
    </row>
    <row r="372" spans="4:15" ht="14.25" customHeight="1" x14ac:dyDescent="0.35">
      <c r="D372" s="529"/>
      <c r="E372" s="529"/>
      <c r="K372" s="541"/>
      <c r="O372" s="529"/>
    </row>
    <row r="373" spans="4:15" ht="14.25" customHeight="1" x14ac:dyDescent="0.35">
      <c r="D373" s="529"/>
      <c r="E373" s="529"/>
      <c r="K373" s="541"/>
      <c r="O373" s="529"/>
    </row>
    <row r="374" spans="4:15" ht="14.25" customHeight="1" x14ac:dyDescent="0.35">
      <c r="D374" s="529"/>
      <c r="E374" s="529"/>
      <c r="K374" s="541"/>
      <c r="O374" s="529"/>
    </row>
    <row r="375" spans="4:15" ht="14.25" customHeight="1" x14ac:dyDescent="0.35">
      <c r="D375" s="529"/>
      <c r="E375" s="529"/>
      <c r="K375" s="541"/>
      <c r="O375" s="529"/>
    </row>
    <row r="376" spans="4:15" ht="14.25" customHeight="1" x14ac:dyDescent="0.35">
      <c r="D376" s="529"/>
      <c r="E376" s="529"/>
      <c r="K376" s="541"/>
      <c r="O376" s="529"/>
    </row>
    <row r="377" spans="4:15" ht="14.25" customHeight="1" x14ac:dyDescent="0.35">
      <c r="D377" s="529"/>
      <c r="E377" s="529"/>
      <c r="K377" s="541"/>
      <c r="O377" s="529"/>
    </row>
    <row r="378" spans="4:15" ht="14.25" customHeight="1" x14ac:dyDescent="0.35">
      <c r="D378" s="529"/>
      <c r="E378" s="529"/>
      <c r="K378" s="541"/>
      <c r="O378" s="529"/>
    </row>
    <row r="379" spans="4:15" ht="14.25" customHeight="1" x14ac:dyDescent="0.35">
      <c r="D379" s="529"/>
      <c r="E379" s="529"/>
      <c r="K379" s="541"/>
      <c r="O379" s="529"/>
    </row>
    <row r="380" spans="4:15" ht="14.25" customHeight="1" x14ac:dyDescent="0.35">
      <c r="D380" s="529"/>
      <c r="E380" s="529"/>
      <c r="K380" s="541"/>
      <c r="O380" s="529"/>
    </row>
    <row r="381" spans="4:15" ht="14.25" customHeight="1" x14ac:dyDescent="0.35">
      <c r="D381" s="529"/>
      <c r="E381" s="529"/>
      <c r="K381" s="541"/>
      <c r="O381" s="529"/>
    </row>
    <row r="382" spans="4:15" ht="14.25" customHeight="1" x14ac:dyDescent="0.35">
      <c r="D382" s="529"/>
      <c r="E382" s="529"/>
      <c r="K382" s="541"/>
      <c r="O382" s="529"/>
    </row>
    <row r="383" spans="4:15" ht="14.25" customHeight="1" x14ac:dyDescent="0.35">
      <c r="D383" s="529"/>
      <c r="E383" s="529"/>
      <c r="K383" s="541"/>
      <c r="O383" s="529"/>
    </row>
    <row r="384" spans="4:15" ht="14.25" customHeight="1" x14ac:dyDescent="0.35">
      <c r="D384" s="529"/>
      <c r="E384" s="529"/>
      <c r="K384" s="541"/>
      <c r="O384" s="529"/>
    </row>
    <row r="385" spans="4:15" ht="14.25" customHeight="1" x14ac:dyDescent="0.35">
      <c r="D385" s="529"/>
      <c r="E385" s="529"/>
      <c r="K385" s="541"/>
      <c r="O385" s="529"/>
    </row>
    <row r="386" spans="4:15" ht="14.25" customHeight="1" x14ac:dyDescent="0.35">
      <c r="D386" s="529"/>
      <c r="E386" s="529"/>
      <c r="K386" s="541"/>
      <c r="O386" s="529"/>
    </row>
    <row r="387" spans="4:15" ht="14.25" customHeight="1" x14ac:dyDescent="0.35">
      <c r="D387" s="529"/>
      <c r="E387" s="529"/>
      <c r="K387" s="541"/>
      <c r="O387" s="529"/>
    </row>
    <row r="388" spans="4:15" ht="14.25" customHeight="1" x14ac:dyDescent="0.35">
      <c r="D388" s="529"/>
      <c r="E388" s="529"/>
      <c r="K388" s="541"/>
      <c r="O388" s="529"/>
    </row>
    <row r="389" spans="4:15" ht="14.25" customHeight="1" x14ac:dyDescent="0.35">
      <c r="D389" s="529"/>
      <c r="E389" s="529"/>
      <c r="K389" s="541"/>
      <c r="O389" s="529"/>
    </row>
    <row r="390" spans="4:15" ht="14.25" customHeight="1" x14ac:dyDescent="0.35">
      <c r="D390" s="529"/>
      <c r="E390" s="529"/>
      <c r="K390" s="541"/>
      <c r="O390" s="529"/>
    </row>
    <row r="391" spans="4:15" ht="14.25" customHeight="1" x14ac:dyDescent="0.35">
      <c r="D391" s="529"/>
      <c r="E391" s="529"/>
      <c r="K391" s="541"/>
      <c r="O391" s="529"/>
    </row>
    <row r="392" spans="4:15" ht="14.25" customHeight="1" x14ac:dyDescent="0.35">
      <c r="D392" s="529"/>
      <c r="E392" s="529"/>
      <c r="K392" s="541"/>
      <c r="O392" s="529"/>
    </row>
    <row r="393" spans="4:15" ht="14.25" customHeight="1" x14ac:dyDescent="0.35">
      <c r="D393" s="529"/>
      <c r="E393" s="529"/>
      <c r="K393" s="541"/>
      <c r="O393" s="529"/>
    </row>
    <row r="394" spans="4:15" ht="14.25" customHeight="1" x14ac:dyDescent="0.35">
      <c r="D394" s="529"/>
      <c r="E394" s="529"/>
      <c r="K394" s="541"/>
      <c r="O394" s="529"/>
    </row>
    <row r="395" spans="4:15" ht="14.25" customHeight="1" x14ac:dyDescent="0.35">
      <c r="D395" s="529"/>
      <c r="E395" s="529"/>
      <c r="K395" s="541"/>
      <c r="O395" s="529"/>
    </row>
    <row r="396" spans="4:15" ht="14.25" customHeight="1" x14ac:dyDescent="0.35">
      <c r="D396" s="529"/>
      <c r="E396" s="529"/>
      <c r="K396" s="541"/>
      <c r="O396" s="529"/>
    </row>
    <row r="397" spans="4:15" ht="14.25" customHeight="1" x14ac:dyDescent="0.35">
      <c r="D397" s="529"/>
      <c r="E397" s="529"/>
      <c r="K397" s="541"/>
      <c r="O397" s="529"/>
    </row>
    <row r="398" spans="4:15" ht="14.25" customHeight="1" x14ac:dyDescent="0.35">
      <c r="D398" s="529"/>
      <c r="E398" s="529"/>
      <c r="K398" s="541"/>
      <c r="O398" s="529"/>
    </row>
    <row r="399" spans="4:15" ht="14.25" customHeight="1" x14ac:dyDescent="0.35">
      <c r="D399" s="529"/>
      <c r="E399" s="529"/>
      <c r="K399" s="541"/>
      <c r="O399" s="529"/>
    </row>
    <row r="400" spans="4:15" ht="14.25" customHeight="1" x14ac:dyDescent="0.35">
      <c r="D400" s="529"/>
      <c r="E400" s="529"/>
      <c r="K400" s="541"/>
      <c r="O400" s="529"/>
    </row>
    <row r="401" spans="4:15" ht="14.25" customHeight="1" x14ac:dyDescent="0.35">
      <c r="D401" s="529"/>
      <c r="E401" s="529"/>
      <c r="K401" s="541"/>
      <c r="O401" s="529"/>
    </row>
    <row r="402" spans="4:15" ht="14.25" customHeight="1" x14ac:dyDescent="0.35">
      <c r="D402" s="529"/>
      <c r="E402" s="529"/>
      <c r="K402" s="541"/>
      <c r="O402" s="529"/>
    </row>
    <row r="403" spans="4:15" ht="14.25" customHeight="1" x14ac:dyDescent="0.35">
      <c r="D403" s="529"/>
      <c r="E403" s="529"/>
      <c r="K403" s="541"/>
      <c r="O403" s="529"/>
    </row>
    <row r="404" spans="4:15" ht="14.25" customHeight="1" x14ac:dyDescent="0.35">
      <c r="D404" s="529"/>
      <c r="E404" s="529"/>
      <c r="K404" s="541"/>
      <c r="O404" s="529"/>
    </row>
    <row r="405" spans="4:15" ht="14.25" customHeight="1" x14ac:dyDescent="0.35">
      <c r="D405" s="529"/>
      <c r="E405" s="529"/>
      <c r="K405" s="541"/>
      <c r="O405" s="529"/>
    </row>
    <row r="406" spans="4:15" ht="14.25" customHeight="1" x14ac:dyDescent="0.35">
      <c r="D406" s="529"/>
      <c r="E406" s="529"/>
      <c r="K406" s="541"/>
      <c r="O406" s="529"/>
    </row>
    <row r="407" spans="4:15" ht="14.25" customHeight="1" x14ac:dyDescent="0.35">
      <c r="D407" s="529"/>
      <c r="E407" s="529"/>
      <c r="K407" s="541"/>
      <c r="O407" s="529"/>
    </row>
    <row r="408" spans="4:15" ht="14.25" customHeight="1" x14ac:dyDescent="0.35">
      <c r="D408" s="529"/>
      <c r="E408" s="529"/>
      <c r="K408" s="541"/>
      <c r="O408" s="529"/>
    </row>
    <row r="409" spans="4:15" ht="14.25" customHeight="1" x14ac:dyDescent="0.35">
      <c r="D409" s="529"/>
      <c r="E409" s="529"/>
      <c r="K409" s="541"/>
      <c r="O409" s="529"/>
    </row>
    <row r="410" spans="4:15" ht="14.25" customHeight="1" x14ac:dyDescent="0.35">
      <c r="D410" s="529"/>
      <c r="E410" s="529"/>
      <c r="K410" s="541"/>
      <c r="O410" s="529"/>
    </row>
    <row r="411" spans="4:15" ht="14.25" customHeight="1" x14ac:dyDescent="0.35">
      <c r="D411" s="529"/>
      <c r="E411" s="529"/>
      <c r="K411" s="541"/>
      <c r="O411" s="529"/>
    </row>
    <row r="412" spans="4:15" ht="14.25" customHeight="1" x14ac:dyDescent="0.35">
      <c r="D412" s="529"/>
      <c r="E412" s="529"/>
      <c r="K412" s="541"/>
      <c r="O412" s="529"/>
    </row>
    <row r="413" spans="4:15" ht="14.25" customHeight="1" x14ac:dyDescent="0.35">
      <c r="D413" s="529"/>
      <c r="E413" s="529"/>
      <c r="K413" s="541"/>
      <c r="O413" s="529"/>
    </row>
    <row r="414" spans="4:15" ht="14.25" customHeight="1" x14ac:dyDescent="0.35">
      <c r="D414" s="529"/>
      <c r="E414" s="529"/>
      <c r="K414" s="541"/>
      <c r="O414" s="529"/>
    </row>
    <row r="415" spans="4:15" ht="14.25" customHeight="1" x14ac:dyDescent="0.35">
      <c r="D415" s="529"/>
      <c r="E415" s="529"/>
      <c r="K415" s="541"/>
      <c r="O415" s="529"/>
    </row>
    <row r="416" spans="4:15" ht="14.25" customHeight="1" x14ac:dyDescent="0.35">
      <c r="D416" s="529"/>
      <c r="E416" s="529"/>
      <c r="K416" s="541"/>
      <c r="O416" s="529"/>
    </row>
    <row r="417" spans="4:15" ht="14.25" customHeight="1" x14ac:dyDescent="0.35">
      <c r="D417" s="529"/>
      <c r="E417" s="529"/>
      <c r="K417" s="541"/>
      <c r="O417" s="529"/>
    </row>
    <row r="418" spans="4:15" ht="14.25" customHeight="1" x14ac:dyDescent="0.35">
      <c r="D418" s="529"/>
      <c r="E418" s="529"/>
      <c r="K418" s="541"/>
      <c r="O418" s="529"/>
    </row>
    <row r="419" spans="4:15" ht="14.25" customHeight="1" x14ac:dyDescent="0.35">
      <c r="D419" s="529"/>
      <c r="E419" s="529"/>
      <c r="K419" s="541"/>
      <c r="O419" s="529"/>
    </row>
    <row r="420" spans="4:15" ht="14.25" customHeight="1" x14ac:dyDescent="0.35">
      <c r="D420" s="529"/>
      <c r="E420" s="529"/>
      <c r="K420" s="541"/>
      <c r="O420" s="529"/>
    </row>
    <row r="421" spans="4:15" ht="14.25" customHeight="1" x14ac:dyDescent="0.35">
      <c r="D421" s="529"/>
      <c r="E421" s="529"/>
      <c r="K421" s="541"/>
      <c r="O421" s="529"/>
    </row>
    <row r="422" spans="4:15" ht="14.25" customHeight="1" x14ac:dyDescent="0.35">
      <c r="D422" s="529"/>
      <c r="E422" s="529"/>
      <c r="K422" s="541"/>
      <c r="O422" s="529"/>
    </row>
    <row r="423" spans="4:15" ht="14.25" customHeight="1" x14ac:dyDescent="0.35">
      <c r="D423" s="529"/>
      <c r="E423" s="529"/>
      <c r="K423" s="541"/>
      <c r="O423" s="529"/>
    </row>
    <row r="424" spans="4:15" ht="14.25" customHeight="1" x14ac:dyDescent="0.35">
      <c r="D424" s="529"/>
      <c r="E424" s="529"/>
      <c r="K424" s="541"/>
      <c r="O424" s="529"/>
    </row>
    <row r="425" spans="4:15" ht="14.25" customHeight="1" x14ac:dyDescent="0.35">
      <c r="D425" s="529"/>
      <c r="E425" s="529"/>
      <c r="K425" s="541"/>
      <c r="O425" s="529"/>
    </row>
    <row r="426" spans="4:15" ht="14.25" customHeight="1" x14ac:dyDescent="0.35">
      <c r="D426" s="529"/>
      <c r="E426" s="529"/>
      <c r="K426" s="541"/>
      <c r="O426" s="529"/>
    </row>
    <row r="427" spans="4:15" ht="14.25" customHeight="1" x14ac:dyDescent="0.35">
      <c r="D427" s="529"/>
      <c r="E427" s="529"/>
      <c r="K427" s="541"/>
      <c r="O427" s="529"/>
    </row>
    <row r="428" spans="4:15" ht="14.25" customHeight="1" x14ac:dyDescent="0.35">
      <c r="D428" s="529"/>
      <c r="E428" s="529"/>
      <c r="K428" s="541"/>
      <c r="O428" s="529"/>
    </row>
    <row r="429" spans="4:15" ht="14.25" customHeight="1" x14ac:dyDescent="0.35">
      <c r="D429" s="529"/>
      <c r="E429" s="529"/>
      <c r="K429" s="541"/>
      <c r="O429" s="529"/>
    </row>
    <row r="430" spans="4:15" ht="14.25" customHeight="1" x14ac:dyDescent="0.35">
      <c r="D430" s="529"/>
      <c r="E430" s="529"/>
      <c r="K430" s="541"/>
      <c r="O430" s="529"/>
    </row>
    <row r="431" spans="4:15" ht="14.25" customHeight="1" x14ac:dyDescent="0.35">
      <c r="D431" s="529"/>
      <c r="E431" s="529"/>
      <c r="K431" s="541"/>
      <c r="O431" s="529"/>
    </row>
    <row r="432" spans="4:15" ht="14.25" customHeight="1" x14ac:dyDescent="0.35">
      <c r="D432" s="529"/>
      <c r="E432" s="529"/>
      <c r="K432" s="541"/>
      <c r="O432" s="529"/>
    </row>
    <row r="433" spans="4:15" ht="14.25" customHeight="1" x14ac:dyDescent="0.35">
      <c r="D433" s="529"/>
      <c r="E433" s="529"/>
      <c r="K433" s="541"/>
      <c r="O433" s="529"/>
    </row>
    <row r="434" spans="4:15" ht="14.25" customHeight="1" x14ac:dyDescent="0.35">
      <c r="D434" s="529"/>
      <c r="E434" s="529"/>
      <c r="K434" s="541"/>
      <c r="O434" s="529"/>
    </row>
    <row r="435" spans="4:15" ht="14.25" customHeight="1" x14ac:dyDescent="0.35">
      <c r="D435" s="529"/>
      <c r="E435" s="529"/>
      <c r="K435" s="541"/>
      <c r="O435" s="529"/>
    </row>
    <row r="436" spans="4:15" ht="14.25" customHeight="1" x14ac:dyDescent="0.35">
      <c r="D436" s="529"/>
      <c r="E436" s="529"/>
      <c r="K436" s="541"/>
      <c r="O436" s="529"/>
    </row>
    <row r="437" spans="4:15" ht="14.25" customHeight="1" x14ac:dyDescent="0.35">
      <c r="D437" s="529"/>
      <c r="E437" s="529"/>
      <c r="K437" s="541"/>
      <c r="O437" s="529"/>
    </row>
    <row r="438" spans="4:15" ht="14.25" customHeight="1" x14ac:dyDescent="0.35">
      <c r="D438" s="529"/>
      <c r="E438" s="529"/>
      <c r="K438" s="541"/>
      <c r="O438" s="529"/>
    </row>
    <row r="439" spans="4:15" ht="14.25" customHeight="1" x14ac:dyDescent="0.35">
      <c r="D439" s="529"/>
      <c r="E439" s="529"/>
      <c r="K439" s="541"/>
      <c r="O439" s="529"/>
    </row>
    <row r="440" spans="4:15" ht="14.25" customHeight="1" x14ac:dyDescent="0.35">
      <c r="D440" s="529"/>
      <c r="E440" s="529"/>
      <c r="K440" s="541"/>
      <c r="O440" s="529"/>
    </row>
    <row r="441" spans="4:15" ht="14.25" customHeight="1" x14ac:dyDescent="0.35">
      <c r="D441" s="529"/>
      <c r="E441" s="529"/>
      <c r="K441" s="541"/>
      <c r="O441" s="529"/>
    </row>
    <row r="442" spans="4:15" ht="14.25" customHeight="1" x14ac:dyDescent="0.35">
      <c r="D442" s="529"/>
      <c r="E442" s="529"/>
      <c r="K442" s="541"/>
      <c r="O442" s="529"/>
    </row>
    <row r="443" spans="4:15" ht="14.25" customHeight="1" x14ac:dyDescent="0.35">
      <c r="D443" s="529"/>
      <c r="E443" s="529"/>
      <c r="K443" s="541"/>
      <c r="O443" s="529"/>
    </row>
    <row r="444" spans="4:15" ht="14.25" customHeight="1" x14ac:dyDescent="0.35">
      <c r="D444" s="529"/>
      <c r="E444" s="529"/>
      <c r="K444" s="541"/>
      <c r="O444" s="529"/>
    </row>
    <row r="445" spans="4:15" ht="14.25" customHeight="1" x14ac:dyDescent="0.35">
      <c r="D445" s="529"/>
      <c r="E445" s="529"/>
      <c r="K445" s="541"/>
      <c r="O445" s="529"/>
    </row>
    <row r="446" spans="4:15" ht="14.25" customHeight="1" x14ac:dyDescent="0.35">
      <c r="D446" s="529"/>
      <c r="E446" s="529"/>
      <c r="K446" s="541"/>
      <c r="O446" s="529"/>
    </row>
    <row r="447" spans="4:15" ht="14.25" customHeight="1" x14ac:dyDescent="0.35">
      <c r="D447" s="529"/>
      <c r="E447" s="529"/>
      <c r="K447" s="541"/>
      <c r="O447" s="529"/>
    </row>
    <row r="448" spans="4:15" ht="14.25" customHeight="1" x14ac:dyDescent="0.35">
      <c r="D448" s="529"/>
      <c r="E448" s="529"/>
      <c r="K448" s="541"/>
      <c r="O448" s="529"/>
    </row>
    <row r="449" spans="4:15" ht="14.25" customHeight="1" x14ac:dyDescent="0.35">
      <c r="D449" s="529"/>
      <c r="E449" s="529"/>
      <c r="K449" s="541"/>
      <c r="O449" s="529"/>
    </row>
    <row r="450" spans="4:15" ht="14.25" customHeight="1" x14ac:dyDescent="0.35">
      <c r="D450" s="529"/>
      <c r="E450" s="529"/>
      <c r="K450" s="541"/>
      <c r="O450" s="529"/>
    </row>
    <row r="451" spans="4:15" ht="14.25" customHeight="1" x14ac:dyDescent="0.35">
      <c r="D451" s="529"/>
      <c r="E451" s="529"/>
      <c r="K451" s="541"/>
      <c r="O451" s="529"/>
    </row>
    <row r="452" spans="4:15" ht="14.25" customHeight="1" x14ac:dyDescent="0.35">
      <c r="D452" s="529"/>
      <c r="E452" s="529"/>
      <c r="K452" s="541"/>
      <c r="O452" s="529"/>
    </row>
    <row r="453" spans="4:15" ht="14.25" customHeight="1" x14ac:dyDescent="0.35">
      <c r="D453" s="529"/>
      <c r="E453" s="529"/>
      <c r="K453" s="541"/>
      <c r="O453" s="529"/>
    </row>
    <row r="454" spans="4:15" ht="14.25" customHeight="1" x14ac:dyDescent="0.35">
      <c r="D454" s="529"/>
      <c r="E454" s="529"/>
      <c r="K454" s="541"/>
      <c r="O454" s="529"/>
    </row>
    <row r="455" spans="4:15" ht="14.25" customHeight="1" x14ac:dyDescent="0.35">
      <c r="D455" s="529"/>
      <c r="E455" s="529"/>
      <c r="K455" s="541"/>
      <c r="O455" s="529"/>
    </row>
    <row r="456" spans="4:15" ht="14.25" customHeight="1" x14ac:dyDescent="0.35">
      <c r="D456" s="529"/>
      <c r="E456" s="529"/>
      <c r="K456" s="541"/>
      <c r="O456" s="529"/>
    </row>
    <row r="457" spans="4:15" ht="14.25" customHeight="1" x14ac:dyDescent="0.35">
      <c r="D457" s="529"/>
      <c r="E457" s="529"/>
      <c r="K457" s="541"/>
      <c r="O457" s="529"/>
    </row>
    <row r="458" spans="4:15" ht="14.25" customHeight="1" x14ac:dyDescent="0.35">
      <c r="D458" s="529"/>
      <c r="E458" s="529"/>
      <c r="K458" s="541"/>
      <c r="O458" s="529"/>
    </row>
    <row r="459" spans="4:15" ht="14.25" customHeight="1" x14ac:dyDescent="0.35">
      <c r="D459" s="529"/>
      <c r="E459" s="529"/>
      <c r="K459" s="541"/>
      <c r="O459" s="529"/>
    </row>
    <row r="460" spans="4:15" ht="14.25" customHeight="1" x14ac:dyDescent="0.35">
      <c r="D460" s="529"/>
      <c r="E460" s="529"/>
      <c r="K460" s="541"/>
      <c r="O460" s="529"/>
    </row>
    <row r="461" spans="4:15" ht="14.25" customHeight="1" x14ac:dyDescent="0.35">
      <c r="D461" s="529"/>
      <c r="E461" s="529"/>
      <c r="K461" s="541"/>
      <c r="O461" s="529"/>
    </row>
    <row r="462" spans="4:15" ht="14.25" customHeight="1" x14ac:dyDescent="0.35">
      <c r="D462" s="529"/>
      <c r="E462" s="529"/>
      <c r="K462" s="541"/>
      <c r="O462" s="529"/>
    </row>
    <row r="463" spans="4:15" ht="14.25" customHeight="1" x14ac:dyDescent="0.35">
      <c r="D463" s="529"/>
      <c r="E463" s="529"/>
      <c r="K463" s="541"/>
      <c r="O463" s="529"/>
    </row>
    <row r="464" spans="4:15" ht="14.25" customHeight="1" x14ac:dyDescent="0.35">
      <c r="D464" s="529"/>
      <c r="E464" s="529"/>
      <c r="K464" s="541"/>
      <c r="O464" s="529"/>
    </row>
    <row r="465" spans="4:15" ht="14.25" customHeight="1" x14ac:dyDescent="0.35">
      <c r="D465" s="529"/>
      <c r="E465" s="529"/>
      <c r="K465" s="541"/>
      <c r="O465" s="529"/>
    </row>
    <row r="466" spans="4:15" ht="14.25" customHeight="1" x14ac:dyDescent="0.35">
      <c r="D466" s="529"/>
      <c r="E466" s="529"/>
      <c r="K466" s="541"/>
      <c r="O466" s="529"/>
    </row>
    <row r="467" spans="4:15" ht="14.25" customHeight="1" x14ac:dyDescent="0.35">
      <c r="D467" s="529"/>
      <c r="E467" s="529"/>
      <c r="K467" s="541"/>
      <c r="O467" s="529"/>
    </row>
    <row r="468" spans="4:15" ht="14.25" customHeight="1" x14ac:dyDescent="0.35">
      <c r="D468" s="529"/>
      <c r="E468" s="529"/>
      <c r="K468" s="541"/>
      <c r="O468" s="529"/>
    </row>
    <row r="469" spans="4:15" ht="14.25" customHeight="1" x14ac:dyDescent="0.35">
      <c r="D469" s="529"/>
      <c r="E469" s="529"/>
      <c r="K469" s="541"/>
      <c r="O469" s="529"/>
    </row>
    <row r="470" spans="4:15" ht="14.25" customHeight="1" x14ac:dyDescent="0.35">
      <c r="D470" s="529"/>
      <c r="E470" s="529"/>
      <c r="K470" s="541"/>
      <c r="O470" s="529"/>
    </row>
    <row r="471" spans="4:15" ht="14.25" customHeight="1" x14ac:dyDescent="0.35">
      <c r="D471" s="529"/>
      <c r="E471" s="529"/>
      <c r="K471" s="541"/>
      <c r="O471" s="529"/>
    </row>
    <row r="472" spans="4:15" ht="14.25" customHeight="1" x14ac:dyDescent="0.35">
      <c r="D472" s="529"/>
      <c r="E472" s="529"/>
      <c r="K472" s="541"/>
      <c r="O472" s="529"/>
    </row>
    <row r="473" spans="4:15" ht="14.25" customHeight="1" x14ac:dyDescent="0.35">
      <c r="D473" s="529"/>
      <c r="E473" s="529"/>
      <c r="K473" s="541"/>
      <c r="O473" s="529"/>
    </row>
    <row r="474" spans="4:15" ht="14.25" customHeight="1" x14ac:dyDescent="0.35">
      <c r="D474" s="529"/>
      <c r="E474" s="529"/>
      <c r="K474" s="541"/>
      <c r="O474" s="529"/>
    </row>
    <row r="475" spans="4:15" ht="14.25" customHeight="1" x14ac:dyDescent="0.35">
      <c r="D475" s="529"/>
      <c r="E475" s="529"/>
      <c r="K475" s="541"/>
      <c r="O475" s="529"/>
    </row>
    <row r="476" spans="4:15" ht="14.25" customHeight="1" x14ac:dyDescent="0.35">
      <c r="D476" s="529"/>
      <c r="E476" s="529"/>
      <c r="K476" s="541"/>
      <c r="O476" s="529"/>
    </row>
    <row r="477" spans="4:15" ht="14.25" customHeight="1" x14ac:dyDescent="0.35">
      <c r="D477" s="529"/>
      <c r="E477" s="529"/>
      <c r="K477" s="541"/>
      <c r="O477" s="529"/>
    </row>
    <row r="478" spans="4:15" ht="14.25" customHeight="1" x14ac:dyDescent="0.35">
      <c r="D478" s="529"/>
      <c r="E478" s="529"/>
      <c r="K478" s="541"/>
      <c r="O478" s="529"/>
    </row>
    <row r="479" spans="4:15" ht="14.25" customHeight="1" x14ac:dyDescent="0.35">
      <c r="D479" s="529"/>
      <c r="E479" s="529"/>
      <c r="K479" s="541"/>
      <c r="O479" s="529"/>
    </row>
    <row r="480" spans="4:15" ht="14.25" customHeight="1" x14ac:dyDescent="0.35">
      <c r="D480" s="529"/>
      <c r="E480" s="529"/>
      <c r="K480" s="541"/>
      <c r="O480" s="529"/>
    </row>
    <row r="481" spans="4:15" ht="14.25" customHeight="1" x14ac:dyDescent="0.35">
      <c r="D481" s="529"/>
      <c r="E481" s="529"/>
      <c r="K481" s="541"/>
      <c r="O481" s="529"/>
    </row>
    <row r="482" spans="4:15" ht="14.25" customHeight="1" x14ac:dyDescent="0.35">
      <c r="D482" s="529"/>
      <c r="E482" s="529"/>
      <c r="K482" s="541"/>
      <c r="O482" s="529"/>
    </row>
    <row r="483" spans="4:15" ht="14.25" customHeight="1" x14ac:dyDescent="0.35">
      <c r="D483" s="529"/>
      <c r="E483" s="529"/>
      <c r="K483" s="541"/>
      <c r="O483" s="529"/>
    </row>
    <row r="484" spans="4:15" ht="14.25" customHeight="1" x14ac:dyDescent="0.35">
      <c r="D484" s="529"/>
      <c r="E484" s="529"/>
      <c r="K484" s="541"/>
      <c r="O484" s="529"/>
    </row>
    <row r="485" spans="4:15" ht="14.25" customHeight="1" x14ac:dyDescent="0.35">
      <c r="D485" s="529"/>
      <c r="E485" s="529"/>
      <c r="K485" s="541"/>
      <c r="O485" s="529"/>
    </row>
    <row r="486" spans="4:15" ht="14.25" customHeight="1" x14ac:dyDescent="0.35">
      <c r="D486" s="529"/>
      <c r="E486" s="529"/>
      <c r="K486" s="541"/>
      <c r="O486" s="529"/>
    </row>
    <row r="487" spans="4:15" ht="14.25" customHeight="1" x14ac:dyDescent="0.35">
      <c r="D487" s="529"/>
      <c r="E487" s="529"/>
      <c r="K487" s="541"/>
      <c r="O487" s="529"/>
    </row>
    <row r="488" spans="4:15" ht="14.25" customHeight="1" x14ac:dyDescent="0.35">
      <c r="D488" s="529"/>
      <c r="E488" s="529"/>
      <c r="K488" s="541"/>
      <c r="O488" s="529"/>
    </row>
    <row r="489" spans="4:15" ht="14.25" customHeight="1" x14ac:dyDescent="0.35">
      <c r="D489" s="529"/>
      <c r="E489" s="529"/>
      <c r="K489" s="541"/>
      <c r="O489" s="529"/>
    </row>
    <row r="490" spans="4:15" ht="14.25" customHeight="1" x14ac:dyDescent="0.35">
      <c r="D490" s="529"/>
      <c r="E490" s="529"/>
      <c r="K490" s="541"/>
      <c r="O490" s="529"/>
    </row>
    <row r="491" spans="4:15" ht="14.25" customHeight="1" x14ac:dyDescent="0.35">
      <c r="D491" s="529"/>
      <c r="E491" s="529"/>
      <c r="K491" s="541"/>
      <c r="O491" s="529"/>
    </row>
    <row r="492" spans="4:15" ht="14.25" customHeight="1" x14ac:dyDescent="0.35">
      <c r="D492" s="529"/>
      <c r="E492" s="529"/>
      <c r="K492" s="541"/>
      <c r="O492" s="529"/>
    </row>
    <row r="493" spans="4:15" ht="14.25" customHeight="1" x14ac:dyDescent="0.35">
      <c r="D493" s="529"/>
      <c r="E493" s="529"/>
      <c r="K493" s="541"/>
      <c r="O493" s="529"/>
    </row>
    <row r="494" spans="4:15" ht="14.25" customHeight="1" x14ac:dyDescent="0.35">
      <c r="D494" s="529"/>
      <c r="E494" s="529"/>
      <c r="K494" s="541"/>
      <c r="O494" s="529"/>
    </row>
    <row r="495" spans="4:15" ht="14.25" customHeight="1" x14ac:dyDescent="0.35">
      <c r="D495" s="529"/>
      <c r="E495" s="529"/>
      <c r="K495" s="541"/>
      <c r="O495" s="529"/>
    </row>
    <row r="496" spans="4:15" ht="14.25" customHeight="1" x14ac:dyDescent="0.35">
      <c r="D496" s="529"/>
      <c r="E496" s="529"/>
      <c r="K496" s="541"/>
      <c r="O496" s="529"/>
    </row>
    <row r="497" spans="4:15" ht="14.25" customHeight="1" x14ac:dyDescent="0.35">
      <c r="D497" s="529"/>
      <c r="E497" s="529"/>
      <c r="K497" s="541"/>
      <c r="O497" s="529"/>
    </row>
    <row r="498" spans="4:15" ht="14.25" customHeight="1" x14ac:dyDescent="0.35">
      <c r="D498" s="529"/>
      <c r="E498" s="529"/>
      <c r="K498" s="541"/>
      <c r="O498" s="529"/>
    </row>
    <row r="499" spans="4:15" ht="14.25" customHeight="1" x14ac:dyDescent="0.35">
      <c r="D499" s="529"/>
      <c r="E499" s="529"/>
      <c r="K499" s="541"/>
      <c r="O499" s="529"/>
    </row>
    <row r="500" spans="4:15" ht="14.25" customHeight="1" x14ac:dyDescent="0.35">
      <c r="D500" s="529"/>
      <c r="E500" s="529"/>
      <c r="K500" s="541"/>
      <c r="O500" s="529"/>
    </row>
    <row r="501" spans="4:15" ht="14.25" customHeight="1" x14ac:dyDescent="0.35">
      <c r="D501" s="529"/>
      <c r="E501" s="529"/>
      <c r="K501" s="541"/>
      <c r="O501" s="529"/>
    </row>
    <row r="502" spans="4:15" ht="14.25" customHeight="1" x14ac:dyDescent="0.35">
      <c r="D502" s="529"/>
      <c r="E502" s="529"/>
      <c r="K502" s="541"/>
      <c r="O502" s="529"/>
    </row>
    <row r="503" spans="4:15" ht="14.25" customHeight="1" x14ac:dyDescent="0.35">
      <c r="D503" s="529"/>
      <c r="E503" s="529"/>
      <c r="K503" s="541"/>
      <c r="O503" s="529"/>
    </row>
    <row r="504" spans="4:15" ht="14.25" customHeight="1" x14ac:dyDescent="0.35">
      <c r="D504" s="529"/>
      <c r="E504" s="529"/>
      <c r="K504" s="541"/>
      <c r="O504" s="529"/>
    </row>
    <row r="505" spans="4:15" ht="14.25" customHeight="1" x14ac:dyDescent="0.35">
      <c r="D505" s="529"/>
      <c r="E505" s="529"/>
      <c r="K505" s="541"/>
      <c r="O505" s="529"/>
    </row>
    <row r="506" spans="4:15" ht="14.25" customHeight="1" x14ac:dyDescent="0.35">
      <c r="D506" s="529"/>
      <c r="E506" s="529"/>
      <c r="K506" s="541"/>
      <c r="O506" s="529"/>
    </row>
    <row r="507" spans="4:15" ht="14.25" customHeight="1" x14ac:dyDescent="0.35">
      <c r="D507" s="529"/>
      <c r="E507" s="529"/>
      <c r="K507" s="541"/>
      <c r="O507" s="529"/>
    </row>
    <row r="508" spans="4:15" ht="14.25" customHeight="1" x14ac:dyDescent="0.35">
      <c r="D508" s="529"/>
      <c r="E508" s="529"/>
      <c r="K508" s="541"/>
      <c r="O508" s="529"/>
    </row>
    <row r="509" spans="4:15" ht="14.25" customHeight="1" x14ac:dyDescent="0.35">
      <c r="D509" s="529"/>
      <c r="E509" s="529"/>
      <c r="K509" s="541"/>
      <c r="O509" s="529"/>
    </row>
    <row r="510" spans="4:15" ht="14.25" customHeight="1" x14ac:dyDescent="0.35">
      <c r="D510" s="529"/>
      <c r="E510" s="529"/>
      <c r="K510" s="541"/>
      <c r="O510" s="529"/>
    </row>
    <row r="511" spans="4:15" ht="14.25" customHeight="1" x14ac:dyDescent="0.35">
      <c r="D511" s="529"/>
      <c r="E511" s="529"/>
      <c r="K511" s="541"/>
      <c r="O511" s="529"/>
    </row>
    <row r="512" spans="4:15" ht="14.25" customHeight="1" x14ac:dyDescent="0.35">
      <c r="D512" s="529"/>
      <c r="E512" s="529"/>
      <c r="K512" s="541"/>
      <c r="O512" s="529"/>
    </row>
    <row r="513" spans="4:15" ht="14.25" customHeight="1" x14ac:dyDescent="0.35">
      <c r="D513" s="529"/>
      <c r="E513" s="529"/>
      <c r="K513" s="541"/>
      <c r="O513" s="529"/>
    </row>
    <row r="514" spans="4:15" ht="14.25" customHeight="1" x14ac:dyDescent="0.35">
      <c r="D514" s="529"/>
      <c r="E514" s="529"/>
      <c r="K514" s="541"/>
      <c r="O514" s="529"/>
    </row>
    <row r="515" spans="4:15" ht="14.25" customHeight="1" x14ac:dyDescent="0.35">
      <c r="D515" s="529"/>
      <c r="E515" s="529"/>
      <c r="K515" s="541"/>
      <c r="O515" s="529"/>
    </row>
    <row r="516" spans="4:15" ht="14.25" customHeight="1" x14ac:dyDescent="0.35">
      <c r="D516" s="529"/>
      <c r="E516" s="529"/>
      <c r="K516" s="541"/>
      <c r="O516" s="529"/>
    </row>
    <row r="517" spans="4:15" ht="14.25" customHeight="1" x14ac:dyDescent="0.35">
      <c r="D517" s="529"/>
      <c r="E517" s="529"/>
      <c r="K517" s="541"/>
      <c r="O517" s="529"/>
    </row>
    <row r="518" spans="4:15" ht="14.25" customHeight="1" x14ac:dyDescent="0.35">
      <c r="D518" s="529"/>
      <c r="E518" s="529"/>
      <c r="K518" s="541"/>
      <c r="O518" s="529"/>
    </row>
    <row r="519" spans="4:15" ht="14.25" customHeight="1" x14ac:dyDescent="0.35">
      <c r="D519" s="529"/>
      <c r="E519" s="529"/>
      <c r="K519" s="541"/>
      <c r="O519" s="529"/>
    </row>
    <row r="520" spans="4:15" ht="14.25" customHeight="1" x14ac:dyDescent="0.35">
      <c r="D520" s="529"/>
      <c r="E520" s="529"/>
      <c r="K520" s="541"/>
      <c r="O520" s="529"/>
    </row>
    <row r="521" spans="4:15" ht="14.25" customHeight="1" x14ac:dyDescent="0.35">
      <c r="D521" s="529"/>
      <c r="E521" s="529"/>
      <c r="K521" s="541"/>
      <c r="O521" s="529"/>
    </row>
    <row r="522" spans="4:15" ht="14.25" customHeight="1" x14ac:dyDescent="0.35">
      <c r="D522" s="529"/>
      <c r="E522" s="529"/>
      <c r="K522" s="541"/>
      <c r="O522" s="529"/>
    </row>
    <row r="523" spans="4:15" ht="14.25" customHeight="1" x14ac:dyDescent="0.35">
      <c r="D523" s="529"/>
      <c r="E523" s="529"/>
      <c r="K523" s="541"/>
      <c r="O523" s="529"/>
    </row>
    <row r="524" spans="4:15" ht="14.25" customHeight="1" x14ac:dyDescent="0.35">
      <c r="D524" s="529"/>
      <c r="E524" s="529"/>
      <c r="K524" s="541"/>
      <c r="O524" s="529"/>
    </row>
    <row r="525" spans="4:15" ht="14.25" customHeight="1" x14ac:dyDescent="0.35">
      <c r="D525" s="529"/>
      <c r="E525" s="529"/>
      <c r="K525" s="541"/>
      <c r="O525" s="529"/>
    </row>
    <row r="526" spans="4:15" ht="14.25" customHeight="1" x14ac:dyDescent="0.35">
      <c r="D526" s="529"/>
      <c r="E526" s="529"/>
      <c r="K526" s="541"/>
      <c r="O526" s="529"/>
    </row>
    <row r="527" spans="4:15" ht="14.25" customHeight="1" x14ac:dyDescent="0.35">
      <c r="D527" s="529"/>
      <c r="E527" s="529"/>
      <c r="K527" s="541"/>
      <c r="O527" s="529"/>
    </row>
    <row r="528" spans="4:15" ht="14.25" customHeight="1" x14ac:dyDescent="0.35">
      <c r="D528" s="529"/>
      <c r="E528" s="529"/>
      <c r="K528" s="541"/>
      <c r="O528" s="529"/>
    </row>
    <row r="529" spans="4:15" ht="14.25" customHeight="1" x14ac:dyDescent="0.35">
      <c r="D529" s="529"/>
      <c r="E529" s="529"/>
      <c r="K529" s="541"/>
      <c r="O529" s="529"/>
    </row>
    <row r="530" spans="4:15" ht="14.25" customHeight="1" x14ac:dyDescent="0.35">
      <c r="D530" s="529"/>
      <c r="E530" s="529"/>
      <c r="K530" s="541"/>
      <c r="O530" s="529"/>
    </row>
    <row r="531" spans="4:15" ht="14.25" customHeight="1" x14ac:dyDescent="0.35">
      <c r="D531" s="529"/>
      <c r="E531" s="529"/>
      <c r="K531" s="541"/>
      <c r="O531" s="529"/>
    </row>
    <row r="532" spans="4:15" ht="14.25" customHeight="1" x14ac:dyDescent="0.35">
      <c r="D532" s="529"/>
      <c r="E532" s="529"/>
      <c r="K532" s="541"/>
      <c r="O532" s="529"/>
    </row>
    <row r="533" spans="4:15" ht="14.25" customHeight="1" x14ac:dyDescent="0.35">
      <c r="D533" s="529"/>
      <c r="E533" s="529"/>
      <c r="K533" s="541"/>
      <c r="O533" s="529"/>
    </row>
    <row r="534" spans="4:15" ht="14.25" customHeight="1" x14ac:dyDescent="0.35">
      <c r="D534" s="529"/>
      <c r="E534" s="529"/>
      <c r="K534" s="541"/>
      <c r="O534" s="529"/>
    </row>
    <row r="535" spans="4:15" ht="14.25" customHeight="1" x14ac:dyDescent="0.35">
      <c r="D535" s="529"/>
      <c r="E535" s="529"/>
      <c r="K535" s="541"/>
      <c r="O535" s="529"/>
    </row>
    <row r="536" spans="4:15" ht="14.25" customHeight="1" x14ac:dyDescent="0.35">
      <c r="D536" s="529"/>
      <c r="E536" s="529"/>
      <c r="K536" s="541"/>
      <c r="O536" s="529"/>
    </row>
    <row r="537" spans="4:15" ht="14.25" customHeight="1" x14ac:dyDescent="0.35">
      <c r="D537" s="529"/>
      <c r="E537" s="529"/>
      <c r="K537" s="541"/>
      <c r="O537" s="529"/>
    </row>
    <row r="538" spans="4:15" ht="14.25" customHeight="1" x14ac:dyDescent="0.35">
      <c r="D538" s="529"/>
      <c r="E538" s="529"/>
      <c r="K538" s="541"/>
      <c r="O538" s="529"/>
    </row>
    <row r="539" spans="4:15" ht="14.25" customHeight="1" x14ac:dyDescent="0.35">
      <c r="D539" s="529"/>
      <c r="E539" s="529"/>
      <c r="K539" s="541"/>
      <c r="O539" s="529"/>
    </row>
    <row r="540" spans="4:15" ht="14.25" customHeight="1" x14ac:dyDescent="0.35">
      <c r="D540" s="529"/>
      <c r="E540" s="529"/>
      <c r="K540" s="541"/>
      <c r="O540" s="529"/>
    </row>
    <row r="541" spans="4:15" ht="14.25" customHeight="1" x14ac:dyDescent="0.35">
      <c r="D541" s="529"/>
      <c r="E541" s="529"/>
      <c r="K541" s="541"/>
      <c r="O541" s="529"/>
    </row>
    <row r="542" spans="4:15" ht="14.25" customHeight="1" x14ac:dyDescent="0.35">
      <c r="D542" s="529"/>
      <c r="E542" s="529"/>
      <c r="K542" s="541"/>
      <c r="O542" s="529"/>
    </row>
    <row r="543" spans="4:15" ht="14.25" customHeight="1" x14ac:dyDescent="0.35">
      <c r="D543" s="529"/>
      <c r="E543" s="529"/>
      <c r="K543" s="541"/>
      <c r="O543" s="529"/>
    </row>
    <row r="544" spans="4:15" ht="14.25" customHeight="1" x14ac:dyDescent="0.35">
      <c r="D544" s="529"/>
      <c r="E544" s="529"/>
      <c r="K544" s="541"/>
      <c r="O544" s="529"/>
    </row>
    <row r="545" spans="4:15" ht="14.25" customHeight="1" x14ac:dyDescent="0.35">
      <c r="D545" s="529"/>
      <c r="E545" s="529"/>
      <c r="K545" s="541"/>
      <c r="O545" s="529"/>
    </row>
    <row r="546" spans="4:15" ht="14.25" customHeight="1" x14ac:dyDescent="0.35">
      <c r="D546" s="529"/>
      <c r="E546" s="529"/>
      <c r="K546" s="541"/>
      <c r="O546" s="529"/>
    </row>
    <row r="547" spans="4:15" ht="14.25" customHeight="1" x14ac:dyDescent="0.35">
      <c r="D547" s="529"/>
      <c r="E547" s="529"/>
      <c r="K547" s="541"/>
      <c r="O547" s="529"/>
    </row>
    <row r="548" spans="4:15" ht="14.25" customHeight="1" x14ac:dyDescent="0.35">
      <c r="D548" s="529"/>
      <c r="E548" s="529"/>
      <c r="K548" s="541"/>
      <c r="O548" s="529"/>
    </row>
    <row r="549" spans="4:15" ht="14.25" customHeight="1" x14ac:dyDescent="0.35">
      <c r="D549" s="529"/>
      <c r="E549" s="529"/>
      <c r="K549" s="541"/>
      <c r="O549" s="529"/>
    </row>
    <row r="550" spans="4:15" ht="14.25" customHeight="1" x14ac:dyDescent="0.35">
      <c r="D550" s="529"/>
      <c r="E550" s="529"/>
      <c r="K550" s="541"/>
      <c r="O550" s="529"/>
    </row>
    <row r="551" spans="4:15" ht="14.25" customHeight="1" x14ac:dyDescent="0.35">
      <c r="D551" s="529"/>
      <c r="E551" s="529"/>
      <c r="K551" s="541"/>
      <c r="O551" s="529"/>
    </row>
    <row r="552" spans="4:15" ht="14.25" customHeight="1" x14ac:dyDescent="0.35">
      <c r="D552" s="529"/>
      <c r="E552" s="529"/>
      <c r="K552" s="541"/>
      <c r="O552" s="529"/>
    </row>
    <row r="553" spans="4:15" ht="14.25" customHeight="1" x14ac:dyDescent="0.35">
      <c r="D553" s="529"/>
      <c r="E553" s="529"/>
      <c r="K553" s="541"/>
      <c r="O553" s="529"/>
    </row>
    <row r="554" spans="4:15" ht="14.25" customHeight="1" x14ac:dyDescent="0.35">
      <c r="D554" s="529"/>
      <c r="E554" s="529"/>
      <c r="K554" s="541"/>
      <c r="O554" s="529"/>
    </row>
    <row r="555" spans="4:15" ht="14.25" customHeight="1" x14ac:dyDescent="0.35">
      <c r="D555" s="529"/>
      <c r="E555" s="529"/>
      <c r="K555" s="541"/>
      <c r="O555" s="529"/>
    </row>
    <row r="556" spans="4:15" ht="14.25" customHeight="1" x14ac:dyDescent="0.35">
      <c r="D556" s="529"/>
      <c r="E556" s="529"/>
      <c r="K556" s="541"/>
      <c r="O556" s="529"/>
    </row>
    <row r="557" spans="4:15" ht="14.25" customHeight="1" x14ac:dyDescent="0.35">
      <c r="D557" s="529"/>
      <c r="E557" s="529"/>
      <c r="K557" s="541"/>
      <c r="O557" s="529"/>
    </row>
    <row r="558" spans="4:15" ht="14.25" customHeight="1" x14ac:dyDescent="0.35">
      <c r="D558" s="529"/>
      <c r="E558" s="529"/>
      <c r="K558" s="541"/>
      <c r="O558" s="529"/>
    </row>
    <row r="559" spans="4:15" ht="14.25" customHeight="1" x14ac:dyDescent="0.35">
      <c r="D559" s="529"/>
      <c r="E559" s="529"/>
      <c r="K559" s="541"/>
      <c r="O559" s="529"/>
    </row>
    <row r="560" spans="4:15" ht="14.25" customHeight="1" x14ac:dyDescent="0.35">
      <c r="D560" s="529"/>
      <c r="E560" s="529"/>
      <c r="K560" s="541"/>
      <c r="O560" s="529"/>
    </row>
    <row r="561" spans="4:15" ht="14.25" customHeight="1" x14ac:dyDescent="0.35">
      <c r="D561" s="529"/>
      <c r="E561" s="529"/>
      <c r="K561" s="541"/>
      <c r="O561" s="529"/>
    </row>
    <row r="562" spans="4:15" ht="14.25" customHeight="1" x14ac:dyDescent="0.35">
      <c r="D562" s="529"/>
      <c r="E562" s="529"/>
      <c r="K562" s="541"/>
      <c r="O562" s="529"/>
    </row>
    <row r="563" spans="4:15" ht="14.25" customHeight="1" x14ac:dyDescent="0.35">
      <c r="D563" s="529"/>
      <c r="E563" s="529"/>
      <c r="K563" s="541"/>
      <c r="O563" s="529"/>
    </row>
    <row r="564" spans="4:15" ht="14.25" customHeight="1" x14ac:dyDescent="0.35">
      <c r="D564" s="529"/>
      <c r="E564" s="529"/>
      <c r="K564" s="541"/>
      <c r="O564" s="529"/>
    </row>
    <row r="565" spans="4:15" ht="14.25" customHeight="1" x14ac:dyDescent="0.35">
      <c r="D565" s="529"/>
      <c r="E565" s="529"/>
      <c r="K565" s="541"/>
      <c r="O565" s="529"/>
    </row>
    <row r="566" spans="4:15" ht="14.25" customHeight="1" x14ac:dyDescent="0.35">
      <c r="D566" s="529"/>
      <c r="E566" s="529"/>
      <c r="K566" s="541"/>
      <c r="O566" s="529"/>
    </row>
    <row r="567" spans="4:15" ht="14.25" customHeight="1" x14ac:dyDescent="0.35">
      <c r="D567" s="529"/>
      <c r="E567" s="529"/>
      <c r="K567" s="541"/>
      <c r="O567" s="529"/>
    </row>
    <row r="568" spans="4:15" ht="14.25" customHeight="1" x14ac:dyDescent="0.35">
      <c r="D568" s="529"/>
      <c r="E568" s="529"/>
      <c r="K568" s="541"/>
      <c r="O568" s="529"/>
    </row>
    <row r="569" spans="4:15" ht="14.25" customHeight="1" x14ac:dyDescent="0.35">
      <c r="D569" s="529"/>
      <c r="E569" s="529"/>
      <c r="K569" s="541"/>
      <c r="O569" s="529"/>
    </row>
    <row r="570" spans="4:15" ht="14.25" customHeight="1" x14ac:dyDescent="0.35">
      <c r="D570" s="529"/>
      <c r="E570" s="529"/>
      <c r="K570" s="541"/>
      <c r="O570" s="529"/>
    </row>
    <row r="571" spans="4:15" ht="14.25" customHeight="1" x14ac:dyDescent="0.35">
      <c r="D571" s="529"/>
      <c r="E571" s="529"/>
      <c r="K571" s="541"/>
      <c r="O571" s="529"/>
    </row>
    <row r="572" spans="4:15" ht="14.25" customHeight="1" x14ac:dyDescent="0.35">
      <c r="D572" s="529"/>
      <c r="E572" s="529"/>
      <c r="K572" s="541"/>
      <c r="O572" s="529"/>
    </row>
    <row r="573" spans="4:15" ht="14.25" customHeight="1" x14ac:dyDescent="0.35">
      <c r="D573" s="529"/>
      <c r="E573" s="529"/>
      <c r="K573" s="541"/>
      <c r="O573" s="529"/>
    </row>
    <row r="574" spans="4:15" ht="14.25" customHeight="1" x14ac:dyDescent="0.35">
      <c r="D574" s="529"/>
      <c r="E574" s="529"/>
      <c r="K574" s="541"/>
      <c r="O574" s="529"/>
    </row>
    <row r="575" spans="4:15" ht="14.25" customHeight="1" x14ac:dyDescent="0.35">
      <c r="D575" s="529"/>
      <c r="E575" s="529"/>
      <c r="K575" s="541"/>
      <c r="O575" s="529"/>
    </row>
    <row r="576" spans="4:15" ht="14.25" customHeight="1" x14ac:dyDescent="0.35">
      <c r="D576" s="529"/>
      <c r="E576" s="529"/>
      <c r="K576" s="541"/>
      <c r="O576" s="529"/>
    </row>
    <row r="577" spans="4:15" ht="14.25" customHeight="1" x14ac:dyDescent="0.35">
      <c r="D577" s="529"/>
      <c r="E577" s="529"/>
      <c r="K577" s="541"/>
      <c r="O577" s="529"/>
    </row>
    <row r="578" spans="4:15" ht="14.25" customHeight="1" x14ac:dyDescent="0.35">
      <c r="D578" s="529"/>
      <c r="E578" s="529"/>
      <c r="K578" s="541"/>
      <c r="O578" s="529"/>
    </row>
    <row r="579" spans="4:15" ht="14.25" customHeight="1" x14ac:dyDescent="0.35">
      <c r="D579" s="529"/>
      <c r="E579" s="529"/>
      <c r="K579" s="541"/>
      <c r="O579" s="529"/>
    </row>
    <row r="580" spans="4:15" ht="14.25" customHeight="1" x14ac:dyDescent="0.35">
      <c r="D580" s="529"/>
      <c r="E580" s="529"/>
      <c r="K580" s="541"/>
      <c r="O580" s="529"/>
    </row>
    <row r="581" spans="4:15" ht="14.25" customHeight="1" x14ac:dyDescent="0.35">
      <c r="D581" s="529"/>
      <c r="E581" s="529"/>
      <c r="K581" s="541"/>
      <c r="O581" s="529"/>
    </row>
    <row r="582" spans="4:15" ht="14.25" customHeight="1" x14ac:dyDescent="0.35">
      <c r="D582" s="529"/>
      <c r="E582" s="529"/>
      <c r="K582" s="541"/>
      <c r="O582" s="529"/>
    </row>
    <row r="583" spans="4:15" ht="14.25" customHeight="1" x14ac:dyDescent="0.35">
      <c r="D583" s="529"/>
      <c r="E583" s="529"/>
      <c r="K583" s="541"/>
      <c r="O583" s="529"/>
    </row>
    <row r="584" spans="4:15" ht="14.25" customHeight="1" x14ac:dyDescent="0.35">
      <c r="D584" s="529"/>
      <c r="E584" s="529"/>
      <c r="K584" s="541"/>
      <c r="O584" s="529"/>
    </row>
    <row r="585" spans="4:15" ht="14.25" customHeight="1" x14ac:dyDescent="0.35">
      <c r="D585" s="529"/>
      <c r="E585" s="529"/>
      <c r="K585" s="541"/>
      <c r="O585" s="529"/>
    </row>
    <row r="586" spans="4:15" ht="14.25" customHeight="1" x14ac:dyDescent="0.35">
      <c r="D586" s="529"/>
      <c r="E586" s="529"/>
      <c r="K586" s="541"/>
      <c r="O586" s="529"/>
    </row>
    <row r="587" spans="4:15" ht="14.25" customHeight="1" x14ac:dyDescent="0.35">
      <c r="D587" s="529"/>
      <c r="E587" s="529"/>
      <c r="K587" s="541"/>
      <c r="O587" s="529"/>
    </row>
    <row r="588" spans="4:15" ht="14.25" customHeight="1" x14ac:dyDescent="0.35">
      <c r="D588" s="529"/>
      <c r="E588" s="529"/>
      <c r="K588" s="541"/>
      <c r="O588" s="529"/>
    </row>
    <row r="589" spans="4:15" ht="14.25" customHeight="1" x14ac:dyDescent="0.35">
      <c r="D589" s="529"/>
      <c r="E589" s="529"/>
      <c r="K589" s="541"/>
      <c r="O589" s="529"/>
    </row>
    <row r="590" spans="4:15" ht="14.25" customHeight="1" x14ac:dyDescent="0.35">
      <c r="D590" s="529"/>
      <c r="E590" s="529"/>
      <c r="K590" s="541"/>
      <c r="O590" s="529"/>
    </row>
    <row r="591" spans="4:15" ht="14.25" customHeight="1" x14ac:dyDescent="0.35">
      <c r="D591" s="529"/>
      <c r="E591" s="529"/>
      <c r="K591" s="541"/>
      <c r="O591" s="529"/>
    </row>
    <row r="592" spans="4:15" ht="14.25" customHeight="1" x14ac:dyDescent="0.35">
      <c r="D592" s="529"/>
      <c r="E592" s="529"/>
      <c r="K592" s="541"/>
      <c r="O592" s="529"/>
    </row>
    <row r="593" spans="4:15" ht="14.25" customHeight="1" x14ac:dyDescent="0.35">
      <c r="D593" s="529"/>
      <c r="E593" s="529"/>
      <c r="K593" s="541"/>
      <c r="O593" s="529"/>
    </row>
    <row r="594" spans="4:15" ht="14.25" customHeight="1" x14ac:dyDescent="0.35">
      <c r="D594" s="529"/>
      <c r="E594" s="529"/>
      <c r="K594" s="541"/>
      <c r="O594" s="529"/>
    </row>
    <row r="595" spans="4:15" ht="14.25" customHeight="1" x14ac:dyDescent="0.35">
      <c r="D595" s="529"/>
      <c r="E595" s="529"/>
      <c r="K595" s="541"/>
      <c r="O595" s="529"/>
    </row>
    <row r="596" spans="4:15" ht="14.25" customHeight="1" x14ac:dyDescent="0.35">
      <c r="D596" s="529"/>
      <c r="E596" s="529"/>
      <c r="K596" s="541"/>
      <c r="O596" s="529"/>
    </row>
    <row r="597" spans="4:15" ht="14.25" customHeight="1" x14ac:dyDescent="0.35">
      <c r="D597" s="529"/>
      <c r="E597" s="529"/>
      <c r="K597" s="541"/>
      <c r="O597" s="529"/>
    </row>
    <row r="598" spans="4:15" ht="14.25" customHeight="1" x14ac:dyDescent="0.35">
      <c r="D598" s="529"/>
      <c r="E598" s="529"/>
      <c r="K598" s="541"/>
      <c r="O598" s="529"/>
    </row>
    <row r="599" spans="4:15" ht="14.25" customHeight="1" x14ac:dyDescent="0.35">
      <c r="D599" s="529"/>
      <c r="E599" s="529"/>
      <c r="K599" s="541"/>
      <c r="O599" s="529"/>
    </row>
    <row r="600" spans="4:15" ht="14.25" customHeight="1" x14ac:dyDescent="0.35">
      <c r="D600" s="529"/>
      <c r="E600" s="529"/>
      <c r="K600" s="541"/>
      <c r="O600" s="529"/>
    </row>
    <row r="601" spans="4:15" ht="14.25" customHeight="1" x14ac:dyDescent="0.35">
      <c r="D601" s="529"/>
      <c r="E601" s="529"/>
      <c r="K601" s="541"/>
      <c r="O601" s="529"/>
    </row>
    <row r="602" spans="4:15" ht="14.25" customHeight="1" x14ac:dyDescent="0.35">
      <c r="D602" s="529"/>
      <c r="E602" s="529"/>
      <c r="K602" s="541"/>
      <c r="O602" s="529"/>
    </row>
    <row r="603" spans="4:15" ht="14.25" customHeight="1" x14ac:dyDescent="0.35">
      <c r="D603" s="529"/>
      <c r="E603" s="529"/>
      <c r="K603" s="541"/>
      <c r="O603" s="529"/>
    </row>
    <row r="604" spans="4:15" ht="14.25" customHeight="1" x14ac:dyDescent="0.35">
      <c r="D604" s="529"/>
      <c r="E604" s="529"/>
      <c r="K604" s="541"/>
      <c r="O604" s="529"/>
    </row>
    <row r="605" spans="4:15" ht="14.25" customHeight="1" x14ac:dyDescent="0.35">
      <c r="D605" s="529"/>
      <c r="E605" s="529"/>
      <c r="K605" s="541"/>
      <c r="O605" s="529"/>
    </row>
    <row r="606" spans="4:15" ht="14.25" customHeight="1" x14ac:dyDescent="0.35">
      <c r="D606" s="529"/>
      <c r="E606" s="529"/>
      <c r="K606" s="541"/>
      <c r="O606" s="529"/>
    </row>
    <row r="607" spans="4:15" ht="14.25" customHeight="1" x14ac:dyDescent="0.35">
      <c r="D607" s="529"/>
      <c r="E607" s="529"/>
      <c r="K607" s="541"/>
      <c r="O607" s="529"/>
    </row>
    <row r="608" spans="4:15" ht="14.25" customHeight="1" x14ac:dyDescent="0.35">
      <c r="D608" s="529"/>
      <c r="E608" s="529"/>
      <c r="K608" s="541"/>
      <c r="O608" s="529"/>
    </row>
    <row r="609" spans="4:15" ht="14.25" customHeight="1" x14ac:dyDescent="0.35">
      <c r="D609" s="529"/>
      <c r="E609" s="529"/>
      <c r="K609" s="541"/>
      <c r="O609" s="529"/>
    </row>
    <row r="610" spans="4:15" ht="14.25" customHeight="1" x14ac:dyDescent="0.35">
      <c r="D610" s="529"/>
      <c r="E610" s="529"/>
      <c r="K610" s="541"/>
      <c r="O610" s="529"/>
    </row>
    <row r="611" spans="4:15" ht="14.25" customHeight="1" x14ac:dyDescent="0.35">
      <c r="D611" s="529"/>
      <c r="E611" s="529"/>
      <c r="K611" s="541"/>
      <c r="O611" s="529"/>
    </row>
    <row r="612" spans="4:15" ht="14.25" customHeight="1" x14ac:dyDescent="0.35">
      <c r="D612" s="529"/>
      <c r="E612" s="529"/>
      <c r="K612" s="541"/>
      <c r="O612" s="529"/>
    </row>
    <row r="613" spans="4:15" ht="14.25" customHeight="1" x14ac:dyDescent="0.35">
      <c r="D613" s="529"/>
      <c r="E613" s="529"/>
      <c r="K613" s="541"/>
      <c r="O613" s="529"/>
    </row>
    <row r="614" spans="4:15" ht="14.25" customHeight="1" x14ac:dyDescent="0.35">
      <c r="D614" s="529"/>
      <c r="E614" s="529"/>
      <c r="K614" s="541"/>
      <c r="O614" s="529"/>
    </row>
    <row r="615" spans="4:15" ht="14.25" customHeight="1" x14ac:dyDescent="0.35">
      <c r="D615" s="529"/>
      <c r="E615" s="529"/>
      <c r="K615" s="541"/>
      <c r="O615" s="529"/>
    </row>
    <row r="616" spans="4:15" ht="14.25" customHeight="1" x14ac:dyDescent="0.35">
      <c r="D616" s="529"/>
      <c r="E616" s="529"/>
      <c r="K616" s="541"/>
      <c r="O616" s="529"/>
    </row>
    <row r="617" spans="4:15" ht="14.25" customHeight="1" x14ac:dyDescent="0.35">
      <c r="D617" s="529"/>
      <c r="E617" s="529"/>
      <c r="K617" s="541"/>
      <c r="O617" s="529"/>
    </row>
    <row r="618" spans="4:15" ht="14.25" customHeight="1" x14ac:dyDescent="0.35">
      <c r="D618" s="529"/>
      <c r="E618" s="529"/>
      <c r="K618" s="541"/>
      <c r="O618" s="529"/>
    </row>
    <row r="619" spans="4:15" ht="14.25" customHeight="1" x14ac:dyDescent="0.35">
      <c r="D619" s="529"/>
      <c r="E619" s="529"/>
      <c r="K619" s="541"/>
      <c r="O619" s="529"/>
    </row>
    <row r="620" spans="4:15" ht="14.25" customHeight="1" x14ac:dyDescent="0.35">
      <c r="D620" s="529"/>
      <c r="E620" s="529"/>
      <c r="K620" s="541"/>
      <c r="O620" s="529"/>
    </row>
    <row r="621" spans="4:15" ht="14.25" customHeight="1" x14ac:dyDescent="0.35">
      <c r="D621" s="529"/>
      <c r="E621" s="529"/>
      <c r="K621" s="541"/>
      <c r="O621" s="529"/>
    </row>
    <row r="622" spans="4:15" ht="14.25" customHeight="1" x14ac:dyDescent="0.35">
      <c r="D622" s="529"/>
      <c r="E622" s="529"/>
      <c r="K622" s="541"/>
      <c r="O622" s="529"/>
    </row>
    <row r="623" spans="4:15" ht="14.25" customHeight="1" x14ac:dyDescent="0.35">
      <c r="D623" s="529"/>
      <c r="E623" s="529"/>
      <c r="K623" s="541"/>
      <c r="O623" s="529"/>
    </row>
    <row r="624" spans="4:15" ht="14.25" customHeight="1" x14ac:dyDescent="0.35">
      <c r="D624" s="529"/>
      <c r="E624" s="529"/>
      <c r="K624" s="541"/>
      <c r="O624" s="529"/>
    </row>
    <row r="625" spans="4:15" ht="14.25" customHeight="1" x14ac:dyDescent="0.35">
      <c r="D625" s="529"/>
      <c r="E625" s="529"/>
      <c r="K625" s="541"/>
      <c r="O625" s="529"/>
    </row>
    <row r="626" spans="4:15" ht="14.25" customHeight="1" x14ac:dyDescent="0.35">
      <c r="D626" s="529"/>
      <c r="E626" s="529"/>
      <c r="K626" s="541"/>
      <c r="O626" s="529"/>
    </row>
    <row r="627" spans="4:15" ht="14.25" customHeight="1" x14ac:dyDescent="0.35">
      <c r="D627" s="529"/>
      <c r="E627" s="529"/>
      <c r="K627" s="541"/>
      <c r="O627" s="529"/>
    </row>
    <row r="628" spans="4:15" ht="14.25" customHeight="1" x14ac:dyDescent="0.35">
      <c r="D628" s="529"/>
      <c r="E628" s="529"/>
      <c r="K628" s="541"/>
      <c r="O628" s="529"/>
    </row>
    <row r="629" spans="4:15" ht="14.25" customHeight="1" x14ac:dyDescent="0.35">
      <c r="D629" s="529"/>
      <c r="E629" s="529"/>
      <c r="K629" s="541"/>
      <c r="O629" s="529"/>
    </row>
    <row r="630" spans="4:15" ht="14.25" customHeight="1" x14ac:dyDescent="0.35">
      <c r="D630" s="529"/>
      <c r="E630" s="529"/>
      <c r="K630" s="541"/>
      <c r="O630" s="529"/>
    </row>
    <row r="631" spans="4:15" ht="14.25" customHeight="1" x14ac:dyDescent="0.35">
      <c r="D631" s="529"/>
      <c r="E631" s="529"/>
      <c r="K631" s="541"/>
      <c r="O631" s="529"/>
    </row>
    <row r="632" spans="4:15" ht="14.25" customHeight="1" x14ac:dyDescent="0.35">
      <c r="D632" s="529"/>
      <c r="E632" s="529"/>
      <c r="K632" s="541"/>
      <c r="O632" s="529"/>
    </row>
    <row r="633" spans="4:15" ht="14.25" customHeight="1" x14ac:dyDescent="0.35">
      <c r="D633" s="529"/>
      <c r="E633" s="529"/>
      <c r="K633" s="541"/>
      <c r="O633" s="529"/>
    </row>
    <row r="634" spans="4:15" ht="14.25" customHeight="1" x14ac:dyDescent="0.35">
      <c r="D634" s="529"/>
      <c r="E634" s="529"/>
      <c r="K634" s="541"/>
      <c r="O634" s="529"/>
    </row>
    <row r="635" spans="4:15" ht="14.25" customHeight="1" x14ac:dyDescent="0.35">
      <c r="D635" s="529"/>
      <c r="E635" s="529"/>
      <c r="K635" s="541"/>
      <c r="O635" s="529"/>
    </row>
    <row r="636" spans="4:15" ht="14.25" customHeight="1" x14ac:dyDescent="0.35">
      <c r="D636" s="529"/>
      <c r="E636" s="529"/>
      <c r="K636" s="541"/>
      <c r="O636" s="529"/>
    </row>
    <row r="637" spans="4:15" ht="14.25" customHeight="1" x14ac:dyDescent="0.35">
      <c r="D637" s="529"/>
      <c r="E637" s="529"/>
      <c r="K637" s="541"/>
      <c r="O637" s="529"/>
    </row>
    <row r="638" spans="4:15" ht="14.25" customHeight="1" x14ac:dyDescent="0.35">
      <c r="D638" s="529"/>
      <c r="E638" s="529"/>
      <c r="K638" s="541"/>
      <c r="O638" s="529"/>
    </row>
    <row r="639" spans="4:15" ht="14.25" customHeight="1" x14ac:dyDescent="0.35">
      <c r="D639" s="529"/>
      <c r="E639" s="529"/>
      <c r="K639" s="541"/>
      <c r="O639" s="529"/>
    </row>
    <row r="640" spans="4:15" ht="14.25" customHeight="1" x14ac:dyDescent="0.35">
      <c r="D640" s="529"/>
      <c r="E640" s="529"/>
      <c r="K640" s="541"/>
      <c r="O640" s="529"/>
    </row>
    <row r="641" spans="4:15" ht="14.25" customHeight="1" x14ac:dyDescent="0.35">
      <c r="D641" s="529"/>
      <c r="E641" s="529"/>
      <c r="K641" s="541"/>
      <c r="O641" s="529"/>
    </row>
    <row r="642" spans="4:15" ht="14.25" customHeight="1" x14ac:dyDescent="0.35">
      <c r="D642" s="529"/>
      <c r="E642" s="529"/>
      <c r="K642" s="541"/>
      <c r="O642" s="529"/>
    </row>
    <row r="643" spans="4:15" ht="14.25" customHeight="1" x14ac:dyDescent="0.35">
      <c r="D643" s="529"/>
      <c r="E643" s="529"/>
      <c r="K643" s="541"/>
      <c r="O643" s="529"/>
    </row>
    <row r="644" spans="4:15" ht="14.25" customHeight="1" x14ac:dyDescent="0.35">
      <c r="D644" s="529"/>
      <c r="E644" s="529"/>
      <c r="K644" s="541"/>
      <c r="O644" s="529"/>
    </row>
    <row r="645" spans="4:15" ht="14.25" customHeight="1" x14ac:dyDescent="0.35">
      <c r="D645" s="529"/>
      <c r="E645" s="529"/>
      <c r="K645" s="541"/>
      <c r="O645" s="529"/>
    </row>
    <row r="646" spans="4:15" ht="14.25" customHeight="1" x14ac:dyDescent="0.35">
      <c r="D646" s="529"/>
      <c r="E646" s="529"/>
      <c r="K646" s="541"/>
      <c r="O646" s="529"/>
    </row>
    <row r="647" spans="4:15" ht="14.25" customHeight="1" x14ac:dyDescent="0.35">
      <c r="D647" s="529"/>
      <c r="E647" s="529"/>
      <c r="K647" s="541"/>
      <c r="O647" s="529"/>
    </row>
    <row r="648" spans="4:15" ht="14.25" customHeight="1" x14ac:dyDescent="0.35">
      <c r="D648" s="529"/>
      <c r="E648" s="529"/>
      <c r="K648" s="541"/>
      <c r="O648" s="529"/>
    </row>
    <row r="649" spans="4:15" ht="14.25" customHeight="1" x14ac:dyDescent="0.35">
      <c r="D649" s="529"/>
      <c r="E649" s="529"/>
      <c r="K649" s="541"/>
      <c r="O649" s="529"/>
    </row>
    <row r="650" spans="4:15" ht="14.25" customHeight="1" x14ac:dyDescent="0.35">
      <c r="D650" s="529"/>
      <c r="E650" s="529"/>
      <c r="K650" s="541"/>
      <c r="O650" s="529"/>
    </row>
    <row r="651" spans="4:15" ht="14.25" customHeight="1" x14ac:dyDescent="0.35">
      <c r="D651" s="529"/>
      <c r="E651" s="529"/>
      <c r="K651" s="541"/>
      <c r="O651" s="529"/>
    </row>
    <row r="652" spans="4:15" ht="14.25" customHeight="1" x14ac:dyDescent="0.35">
      <c r="D652" s="529"/>
      <c r="E652" s="529"/>
      <c r="K652" s="541"/>
      <c r="O652" s="529"/>
    </row>
    <row r="653" spans="4:15" ht="14.25" customHeight="1" x14ac:dyDescent="0.35">
      <c r="D653" s="529"/>
      <c r="E653" s="529"/>
      <c r="K653" s="541"/>
      <c r="O653" s="529"/>
    </row>
    <row r="654" spans="4:15" ht="14.25" customHeight="1" x14ac:dyDescent="0.35">
      <c r="D654" s="529"/>
      <c r="E654" s="529"/>
      <c r="K654" s="541"/>
      <c r="O654" s="529"/>
    </row>
    <row r="655" spans="4:15" ht="14.25" customHeight="1" x14ac:dyDescent="0.35">
      <c r="D655" s="529"/>
      <c r="E655" s="529"/>
      <c r="K655" s="541"/>
      <c r="O655" s="529"/>
    </row>
    <row r="656" spans="4:15" ht="14.25" customHeight="1" x14ac:dyDescent="0.35">
      <c r="D656" s="529"/>
      <c r="E656" s="529"/>
      <c r="K656" s="541"/>
      <c r="O656" s="529"/>
    </row>
    <row r="657" spans="4:15" ht="14.25" customHeight="1" x14ac:dyDescent="0.35">
      <c r="D657" s="529"/>
      <c r="E657" s="529"/>
      <c r="K657" s="541"/>
      <c r="O657" s="529"/>
    </row>
    <row r="658" spans="4:15" ht="14.25" customHeight="1" x14ac:dyDescent="0.35">
      <c r="D658" s="529"/>
      <c r="E658" s="529"/>
      <c r="K658" s="541"/>
      <c r="O658" s="529"/>
    </row>
    <row r="659" spans="4:15" ht="14.25" customHeight="1" x14ac:dyDescent="0.35">
      <c r="D659" s="529"/>
      <c r="E659" s="529"/>
      <c r="K659" s="541"/>
      <c r="O659" s="529"/>
    </row>
    <row r="660" spans="4:15" ht="14.25" customHeight="1" x14ac:dyDescent="0.35">
      <c r="D660" s="529"/>
      <c r="E660" s="529"/>
      <c r="K660" s="541"/>
      <c r="O660" s="529"/>
    </row>
    <row r="661" spans="4:15" ht="14.25" customHeight="1" x14ac:dyDescent="0.35">
      <c r="D661" s="529"/>
      <c r="E661" s="529"/>
      <c r="K661" s="541"/>
      <c r="O661" s="529"/>
    </row>
    <row r="662" spans="4:15" ht="14.25" customHeight="1" x14ac:dyDescent="0.35">
      <c r="D662" s="529"/>
      <c r="E662" s="529"/>
      <c r="K662" s="541"/>
      <c r="O662" s="529"/>
    </row>
    <row r="663" spans="4:15" ht="14.25" customHeight="1" x14ac:dyDescent="0.35">
      <c r="D663" s="529"/>
      <c r="E663" s="529"/>
      <c r="K663" s="541"/>
      <c r="O663" s="529"/>
    </row>
    <row r="664" spans="4:15" ht="14.25" customHeight="1" x14ac:dyDescent="0.35">
      <c r="D664" s="529"/>
      <c r="E664" s="529"/>
      <c r="K664" s="541"/>
      <c r="O664" s="529"/>
    </row>
    <row r="665" spans="4:15" ht="14.25" customHeight="1" x14ac:dyDescent="0.35">
      <c r="D665" s="529"/>
      <c r="E665" s="529"/>
      <c r="K665" s="541"/>
      <c r="O665" s="529"/>
    </row>
    <row r="666" spans="4:15" ht="14.25" customHeight="1" x14ac:dyDescent="0.35">
      <c r="D666" s="529"/>
      <c r="E666" s="529"/>
      <c r="K666" s="541"/>
      <c r="O666" s="529"/>
    </row>
    <row r="667" spans="4:15" ht="14.25" customHeight="1" x14ac:dyDescent="0.35">
      <c r="D667" s="529"/>
      <c r="E667" s="529"/>
      <c r="K667" s="541"/>
      <c r="O667" s="529"/>
    </row>
    <row r="668" spans="4:15" ht="14.25" customHeight="1" x14ac:dyDescent="0.35">
      <c r="D668" s="529"/>
      <c r="E668" s="529"/>
      <c r="K668" s="541"/>
      <c r="O668" s="529"/>
    </row>
    <row r="669" spans="4:15" ht="14.25" customHeight="1" x14ac:dyDescent="0.35">
      <c r="D669" s="529"/>
      <c r="E669" s="529"/>
      <c r="K669" s="541"/>
      <c r="O669" s="529"/>
    </row>
    <row r="670" spans="4:15" ht="14.25" customHeight="1" x14ac:dyDescent="0.35">
      <c r="D670" s="529"/>
      <c r="E670" s="529"/>
      <c r="K670" s="541"/>
      <c r="O670" s="529"/>
    </row>
    <row r="671" spans="4:15" ht="14.25" customHeight="1" x14ac:dyDescent="0.35">
      <c r="D671" s="529"/>
      <c r="E671" s="529"/>
      <c r="K671" s="541"/>
      <c r="O671" s="529"/>
    </row>
    <row r="672" spans="4:15" ht="14.25" customHeight="1" x14ac:dyDescent="0.35">
      <c r="D672" s="529"/>
      <c r="E672" s="529"/>
      <c r="K672" s="541"/>
      <c r="O672" s="529"/>
    </row>
    <row r="673" spans="4:15" ht="14.25" customHeight="1" x14ac:dyDescent="0.35">
      <c r="D673" s="529"/>
      <c r="E673" s="529"/>
      <c r="K673" s="541"/>
      <c r="O673" s="529"/>
    </row>
    <row r="674" spans="4:15" ht="14.25" customHeight="1" x14ac:dyDescent="0.35">
      <c r="D674" s="529"/>
      <c r="E674" s="529"/>
      <c r="K674" s="541"/>
      <c r="O674" s="529"/>
    </row>
    <row r="675" spans="4:15" ht="14.25" customHeight="1" x14ac:dyDescent="0.35">
      <c r="D675" s="529"/>
      <c r="E675" s="529"/>
      <c r="K675" s="541"/>
      <c r="O675" s="529"/>
    </row>
    <row r="676" spans="4:15" ht="14.25" customHeight="1" x14ac:dyDescent="0.35">
      <c r="D676" s="529"/>
      <c r="E676" s="529"/>
      <c r="K676" s="541"/>
      <c r="O676" s="529"/>
    </row>
    <row r="677" spans="4:15" ht="14.25" customHeight="1" x14ac:dyDescent="0.35">
      <c r="D677" s="529"/>
      <c r="E677" s="529"/>
      <c r="K677" s="541"/>
      <c r="O677" s="529"/>
    </row>
    <row r="678" spans="4:15" ht="14.25" customHeight="1" x14ac:dyDescent="0.35">
      <c r="D678" s="529"/>
      <c r="E678" s="529"/>
      <c r="K678" s="541"/>
      <c r="O678" s="529"/>
    </row>
    <row r="679" spans="4:15" ht="14.25" customHeight="1" x14ac:dyDescent="0.35">
      <c r="D679" s="529"/>
      <c r="E679" s="529"/>
      <c r="K679" s="541"/>
      <c r="O679" s="529"/>
    </row>
    <row r="680" spans="4:15" ht="14.25" customHeight="1" x14ac:dyDescent="0.35">
      <c r="D680" s="529"/>
      <c r="E680" s="529"/>
      <c r="K680" s="541"/>
      <c r="O680" s="529"/>
    </row>
    <row r="681" spans="4:15" ht="14.25" customHeight="1" x14ac:dyDescent="0.35">
      <c r="D681" s="529"/>
      <c r="E681" s="529"/>
      <c r="K681" s="541"/>
      <c r="O681" s="529"/>
    </row>
    <row r="682" spans="4:15" ht="14.25" customHeight="1" x14ac:dyDescent="0.35">
      <c r="D682" s="529"/>
      <c r="E682" s="529"/>
      <c r="K682" s="541"/>
      <c r="O682" s="529"/>
    </row>
    <row r="683" spans="4:15" ht="14.25" customHeight="1" x14ac:dyDescent="0.35">
      <c r="D683" s="529"/>
      <c r="E683" s="529"/>
      <c r="K683" s="541"/>
      <c r="O683" s="529"/>
    </row>
    <row r="684" spans="4:15" ht="14.25" customHeight="1" x14ac:dyDescent="0.35">
      <c r="D684" s="529"/>
      <c r="E684" s="529"/>
      <c r="K684" s="541"/>
      <c r="O684" s="529"/>
    </row>
    <row r="685" spans="4:15" ht="14.25" customHeight="1" x14ac:dyDescent="0.35">
      <c r="D685" s="529"/>
      <c r="E685" s="529"/>
      <c r="K685" s="541"/>
      <c r="O685" s="529"/>
    </row>
    <row r="686" spans="4:15" ht="14.25" customHeight="1" x14ac:dyDescent="0.35">
      <c r="D686" s="529"/>
      <c r="E686" s="529"/>
      <c r="K686" s="541"/>
      <c r="O686" s="529"/>
    </row>
    <row r="687" spans="4:15" ht="14.25" customHeight="1" x14ac:dyDescent="0.35">
      <c r="D687" s="529"/>
      <c r="E687" s="529"/>
      <c r="K687" s="541"/>
      <c r="O687" s="529"/>
    </row>
    <row r="688" spans="4:15" ht="14.25" customHeight="1" x14ac:dyDescent="0.35">
      <c r="D688" s="529"/>
      <c r="E688" s="529"/>
      <c r="K688" s="541"/>
      <c r="O688" s="529"/>
    </row>
    <row r="689" spans="4:15" ht="14.25" customHeight="1" x14ac:dyDescent="0.35">
      <c r="D689" s="529"/>
      <c r="E689" s="529"/>
      <c r="K689" s="541"/>
      <c r="O689" s="529"/>
    </row>
    <row r="690" spans="4:15" ht="14.25" customHeight="1" x14ac:dyDescent="0.35">
      <c r="D690" s="529"/>
      <c r="E690" s="529"/>
      <c r="K690" s="541"/>
      <c r="O690" s="529"/>
    </row>
    <row r="691" spans="4:15" ht="14.25" customHeight="1" x14ac:dyDescent="0.35">
      <c r="D691" s="529"/>
      <c r="E691" s="529"/>
      <c r="K691" s="541"/>
      <c r="O691" s="529"/>
    </row>
    <row r="692" spans="4:15" ht="14.25" customHeight="1" x14ac:dyDescent="0.35">
      <c r="D692" s="529"/>
      <c r="E692" s="529"/>
      <c r="K692" s="541"/>
      <c r="O692" s="529"/>
    </row>
    <row r="693" spans="4:15" ht="14.25" customHeight="1" x14ac:dyDescent="0.35">
      <c r="D693" s="529"/>
      <c r="E693" s="529"/>
      <c r="K693" s="541"/>
      <c r="O693" s="529"/>
    </row>
    <row r="694" spans="4:15" ht="14.25" customHeight="1" x14ac:dyDescent="0.35">
      <c r="D694" s="529"/>
      <c r="E694" s="529"/>
      <c r="K694" s="541"/>
      <c r="O694" s="529"/>
    </row>
    <row r="695" spans="4:15" ht="14.25" customHeight="1" x14ac:dyDescent="0.35">
      <c r="D695" s="529"/>
      <c r="E695" s="529"/>
      <c r="K695" s="541"/>
      <c r="O695" s="529"/>
    </row>
    <row r="696" spans="4:15" ht="14.25" customHeight="1" x14ac:dyDescent="0.35">
      <c r="D696" s="529"/>
      <c r="E696" s="529"/>
      <c r="K696" s="541"/>
      <c r="O696" s="529"/>
    </row>
    <row r="697" spans="4:15" ht="14.25" customHeight="1" x14ac:dyDescent="0.35">
      <c r="D697" s="529"/>
      <c r="E697" s="529"/>
      <c r="K697" s="541"/>
      <c r="O697" s="529"/>
    </row>
    <row r="698" spans="4:15" ht="14.25" customHeight="1" x14ac:dyDescent="0.35">
      <c r="D698" s="529"/>
      <c r="E698" s="529"/>
      <c r="K698" s="541"/>
      <c r="O698" s="529"/>
    </row>
    <row r="699" spans="4:15" ht="14.25" customHeight="1" x14ac:dyDescent="0.35">
      <c r="D699" s="529"/>
      <c r="E699" s="529"/>
      <c r="K699" s="541"/>
      <c r="O699" s="529"/>
    </row>
    <row r="700" spans="4:15" ht="14.25" customHeight="1" x14ac:dyDescent="0.35">
      <c r="D700" s="529"/>
      <c r="E700" s="529"/>
      <c r="K700" s="541"/>
      <c r="O700" s="529"/>
    </row>
    <row r="701" spans="4:15" ht="14.25" customHeight="1" x14ac:dyDescent="0.35">
      <c r="D701" s="529"/>
      <c r="E701" s="529"/>
      <c r="K701" s="541"/>
      <c r="O701" s="529"/>
    </row>
    <row r="702" spans="4:15" ht="14.25" customHeight="1" x14ac:dyDescent="0.35">
      <c r="D702" s="529"/>
      <c r="E702" s="529"/>
      <c r="K702" s="541"/>
      <c r="O702" s="529"/>
    </row>
    <row r="703" spans="4:15" ht="14.25" customHeight="1" x14ac:dyDescent="0.35">
      <c r="D703" s="529"/>
      <c r="E703" s="529"/>
      <c r="K703" s="541"/>
      <c r="O703" s="529"/>
    </row>
    <row r="704" spans="4:15" ht="14.25" customHeight="1" x14ac:dyDescent="0.35">
      <c r="D704" s="529"/>
      <c r="E704" s="529"/>
      <c r="K704" s="541"/>
      <c r="O704" s="529"/>
    </row>
    <row r="705" spans="4:15" ht="14.25" customHeight="1" x14ac:dyDescent="0.35">
      <c r="D705" s="529"/>
      <c r="E705" s="529"/>
      <c r="K705" s="541"/>
      <c r="O705" s="529"/>
    </row>
    <row r="706" spans="4:15" ht="14.25" customHeight="1" x14ac:dyDescent="0.35">
      <c r="D706" s="529"/>
      <c r="E706" s="529"/>
      <c r="K706" s="541"/>
      <c r="O706" s="529"/>
    </row>
    <row r="707" spans="4:15" ht="14.25" customHeight="1" x14ac:dyDescent="0.35">
      <c r="D707" s="529"/>
      <c r="E707" s="529"/>
      <c r="K707" s="541"/>
      <c r="O707" s="529"/>
    </row>
    <row r="708" spans="4:15" ht="14.25" customHeight="1" x14ac:dyDescent="0.35">
      <c r="D708" s="529"/>
      <c r="E708" s="529"/>
      <c r="K708" s="541"/>
      <c r="O708" s="529"/>
    </row>
    <row r="709" spans="4:15" ht="14.25" customHeight="1" x14ac:dyDescent="0.35">
      <c r="D709" s="529"/>
      <c r="E709" s="529"/>
      <c r="K709" s="541"/>
      <c r="O709" s="529"/>
    </row>
    <row r="710" spans="4:15" ht="14.25" customHeight="1" x14ac:dyDescent="0.35">
      <c r="D710" s="529"/>
      <c r="E710" s="529"/>
      <c r="K710" s="541"/>
      <c r="O710" s="529"/>
    </row>
    <row r="711" spans="4:15" ht="14.25" customHeight="1" x14ac:dyDescent="0.35">
      <c r="D711" s="529"/>
      <c r="E711" s="529"/>
      <c r="K711" s="541"/>
      <c r="O711" s="529"/>
    </row>
    <row r="712" spans="4:15" ht="14.25" customHeight="1" x14ac:dyDescent="0.35">
      <c r="D712" s="529"/>
      <c r="E712" s="529"/>
      <c r="K712" s="541"/>
      <c r="O712" s="529"/>
    </row>
    <row r="713" spans="4:15" ht="14.25" customHeight="1" x14ac:dyDescent="0.35">
      <c r="D713" s="529"/>
      <c r="E713" s="529"/>
      <c r="K713" s="541"/>
      <c r="O713" s="529"/>
    </row>
    <row r="714" spans="4:15" ht="14.25" customHeight="1" x14ac:dyDescent="0.35">
      <c r="D714" s="529"/>
      <c r="E714" s="529"/>
      <c r="K714" s="541"/>
      <c r="O714" s="529"/>
    </row>
    <row r="715" spans="4:15" ht="14.25" customHeight="1" x14ac:dyDescent="0.35">
      <c r="D715" s="529"/>
      <c r="E715" s="529"/>
      <c r="K715" s="541"/>
      <c r="O715" s="529"/>
    </row>
    <row r="716" spans="4:15" ht="14.25" customHeight="1" x14ac:dyDescent="0.35">
      <c r="D716" s="529"/>
      <c r="E716" s="529"/>
      <c r="K716" s="541"/>
      <c r="O716" s="529"/>
    </row>
    <row r="717" spans="4:15" ht="14.25" customHeight="1" x14ac:dyDescent="0.35">
      <c r="D717" s="529"/>
      <c r="E717" s="529"/>
      <c r="K717" s="541"/>
      <c r="O717" s="529"/>
    </row>
    <row r="718" spans="4:15" ht="14.25" customHeight="1" x14ac:dyDescent="0.35">
      <c r="D718" s="529"/>
      <c r="E718" s="529"/>
      <c r="K718" s="541"/>
      <c r="O718" s="529"/>
    </row>
    <row r="719" spans="4:15" ht="14.25" customHeight="1" x14ac:dyDescent="0.35">
      <c r="D719" s="529"/>
      <c r="E719" s="529"/>
      <c r="K719" s="541"/>
      <c r="O719" s="529"/>
    </row>
    <row r="720" spans="4:15" ht="14.25" customHeight="1" x14ac:dyDescent="0.35">
      <c r="D720" s="529"/>
      <c r="E720" s="529"/>
      <c r="K720" s="541"/>
      <c r="O720" s="529"/>
    </row>
    <row r="721" spans="4:15" ht="14.25" customHeight="1" x14ac:dyDescent="0.35">
      <c r="D721" s="529"/>
      <c r="E721" s="529"/>
      <c r="K721" s="541"/>
      <c r="O721" s="529"/>
    </row>
    <row r="722" spans="4:15" ht="14.25" customHeight="1" x14ac:dyDescent="0.35">
      <c r="D722" s="529"/>
      <c r="E722" s="529"/>
      <c r="K722" s="541"/>
      <c r="O722" s="529"/>
    </row>
    <row r="723" spans="4:15" ht="14.25" customHeight="1" x14ac:dyDescent="0.35">
      <c r="D723" s="529"/>
      <c r="E723" s="529"/>
      <c r="K723" s="541"/>
      <c r="O723" s="529"/>
    </row>
    <row r="724" spans="4:15" ht="14.25" customHeight="1" x14ac:dyDescent="0.35">
      <c r="D724" s="529"/>
      <c r="E724" s="529"/>
      <c r="K724" s="541"/>
      <c r="O724" s="529"/>
    </row>
    <row r="725" spans="4:15" ht="14.25" customHeight="1" x14ac:dyDescent="0.35">
      <c r="D725" s="529"/>
      <c r="E725" s="529"/>
      <c r="K725" s="541"/>
      <c r="O725" s="529"/>
    </row>
    <row r="726" spans="4:15" ht="14.25" customHeight="1" x14ac:dyDescent="0.35">
      <c r="D726" s="529"/>
      <c r="E726" s="529"/>
      <c r="K726" s="541"/>
      <c r="O726" s="529"/>
    </row>
    <row r="727" spans="4:15" ht="14.25" customHeight="1" x14ac:dyDescent="0.35">
      <c r="D727" s="529"/>
      <c r="E727" s="529"/>
      <c r="K727" s="541"/>
      <c r="O727" s="529"/>
    </row>
    <row r="728" spans="4:15" ht="14.25" customHeight="1" x14ac:dyDescent="0.35">
      <c r="D728" s="529"/>
      <c r="E728" s="529"/>
      <c r="K728" s="541"/>
      <c r="O728" s="529"/>
    </row>
    <row r="729" spans="4:15" ht="14.25" customHeight="1" x14ac:dyDescent="0.35">
      <c r="D729" s="529"/>
      <c r="E729" s="529"/>
      <c r="K729" s="541"/>
      <c r="O729" s="529"/>
    </row>
    <row r="730" spans="4:15" ht="14.25" customHeight="1" x14ac:dyDescent="0.35">
      <c r="D730" s="529"/>
      <c r="E730" s="529"/>
      <c r="K730" s="541"/>
      <c r="O730" s="529"/>
    </row>
    <row r="731" spans="4:15" ht="14.25" customHeight="1" x14ac:dyDescent="0.35">
      <c r="D731" s="529"/>
      <c r="E731" s="529"/>
      <c r="K731" s="541"/>
      <c r="O731" s="529"/>
    </row>
    <row r="732" spans="4:15" ht="14.25" customHeight="1" x14ac:dyDescent="0.35">
      <c r="D732" s="529"/>
      <c r="E732" s="529"/>
      <c r="K732" s="541"/>
      <c r="O732" s="529"/>
    </row>
    <row r="733" spans="4:15" ht="14.25" customHeight="1" x14ac:dyDescent="0.35">
      <c r="D733" s="529"/>
      <c r="E733" s="529"/>
      <c r="K733" s="541"/>
      <c r="O733" s="529"/>
    </row>
    <row r="734" spans="4:15" ht="14.25" customHeight="1" x14ac:dyDescent="0.35">
      <c r="D734" s="529"/>
      <c r="E734" s="529"/>
      <c r="K734" s="541"/>
      <c r="O734" s="529"/>
    </row>
    <row r="735" spans="4:15" ht="14.25" customHeight="1" x14ac:dyDescent="0.35">
      <c r="D735" s="529"/>
      <c r="E735" s="529"/>
      <c r="K735" s="541"/>
      <c r="O735" s="529"/>
    </row>
    <row r="736" spans="4:15" ht="14.25" customHeight="1" x14ac:dyDescent="0.35">
      <c r="D736" s="529"/>
      <c r="E736" s="529"/>
      <c r="K736" s="541"/>
      <c r="O736" s="529"/>
    </row>
    <row r="737" spans="4:15" ht="14.25" customHeight="1" x14ac:dyDescent="0.35">
      <c r="D737" s="529"/>
      <c r="E737" s="529"/>
      <c r="K737" s="541"/>
      <c r="O737" s="529"/>
    </row>
    <row r="738" spans="4:15" ht="14.25" customHeight="1" x14ac:dyDescent="0.35">
      <c r="D738" s="529"/>
      <c r="E738" s="529"/>
      <c r="K738" s="541"/>
      <c r="O738" s="529"/>
    </row>
    <row r="739" spans="4:15" ht="14.25" customHeight="1" x14ac:dyDescent="0.35">
      <c r="D739" s="529"/>
      <c r="E739" s="529"/>
      <c r="K739" s="541"/>
      <c r="O739" s="529"/>
    </row>
    <row r="740" spans="4:15" ht="14.25" customHeight="1" x14ac:dyDescent="0.35">
      <c r="D740" s="529"/>
      <c r="E740" s="529"/>
      <c r="K740" s="541"/>
      <c r="O740" s="529"/>
    </row>
    <row r="741" spans="4:15" ht="14.25" customHeight="1" x14ac:dyDescent="0.35">
      <c r="D741" s="529"/>
      <c r="E741" s="529"/>
      <c r="K741" s="541"/>
      <c r="O741" s="529"/>
    </row>
    <row r="742" spans="4:15" ht="14.25" customHeight="1" x14ac:dyDescent="0.35">
      <c r="D742" s="529"/>
      <c r="E742" s="529"/>
      <c r="K742" s="541"/>
      <c r="O742" s="529"/>
    </row>
    <row r="743" spans="4:15" ht="14.25" customHeight="1" x14ac:dyDescent="0.35">
      <c r="D743" s="529"/>
      <c r="E743" s="529"/>
      <c r="K743" s="541"/>
      <c r="O743" s="529"/>
    </row>
    <row r="744" spans="4:15" ht="14.25" customHeight="1" x14ac:dyDescent="0.35">
      <c r="D744" s="529"/>
      <c r="E744" s="529"/>
      <c r="K744" s="541"/>
      <c r="O744" s="529"/>
    </row>
    <row r="745" spans="4:15" ht="14.25" customHeight="1" x14ac:dyDescent="0.35">
      <c r="D745" s="529"/>
      <c r="E745" s="529"/>
      <c r="K745" s="541"/>
      <c r="O745" s="529"/>
    </row>
    <row r="746" spans="4:15" ht="14.25" customHeight="1" x14ac:dyDescent="0.35">
      <c r="D746" s="529"/>
      <c r="E746" s="529"/>
      <c r="K746" s="541"/>
      <c r="O746" s="529"/>
    </row>
    <row r="747" spans="4:15" ht="14.25" customHeight="1" x14ac:dyDescent="0.35">
      <c r="D747" s="529"/>
      <c r="E747" s="529"/>
      <c r="K747" s="541"/>
      <c r="O747" s="529"/>
    </row>
    <row r="748" spans="4:15" ht="14.25" customHeight="1" x14ac:dyDescent="0.35">
      <c r="D748" s="529"/>
      <c r="E748" s="529"/>
      <c r="K748" s="541"/>
      <c r="O748" s="529"/>
    </row>
    <row r="749" spans="4:15" ht="14.25" customHeight="1" x14ac:dyDescent="0.35">
      <c r="D749" s="529"/>
      <c r="E749" s="529"/>
      <c r="K749" s="541"/>
      <c r="O749" s="529"/>
    </row>
    <row r="750" spans="4:15" ht="14.25" customHeight="1" x14ac:dyDescent="0.35">
      <c r="D750" s="529"/>
      <c r="E750" s="529"/>
      <c r="K750" s="541"/>
      <c r="O750" s="529"/>
    </row>
    <row r="751" spans="4:15" ht="14.25" customHeight="1" x14ac:dyDescent="0.35">
      <c r="D751" s="529"/>
      <c r="E751" s="529"/>
      <c r="K751" s="541"/>
      <c r="O751" s="529"/>
    </row>
    <row r="752" spans="4:15" ht="14.25" customHeight="1" x14ac:dyDescent="0.35">
      <c r="D752" s="529"/>
      <c r="E752" s="529"/>
      <c r="K752" s="541"/>
      <c r="O752" s="529"/>
    </row>
    <row r="753" spans="4:15" ht="14.25" customHeight="1" x14ac:dyDescent="0.35">
      <c r="D753" s="529"/>
      <c r="E753" s="529"/>
      <c r="K753" s="541"/>
      <c r="O753" s="529"/>
    </row>
    <row r="754" spans="4:15" ht="14.25" customHeight="1" x14ac:dyDescent="0.35">
      <c r="D754" s="529"/>
      <c r="E754" s="529"/>
      <c r="K754" s="541"/>
      <c r="O754" s="529"/>
    </row>
    <row r="755" spans="4:15" ht="14.25" customHeight="1" x14ac:dyDescent="0.35">
      <c r="D755" s="529"/>
      <c r="E755" s="529"/>
      <c r="K755" s="541"/>
      <c r="O755" s="529"/>
    </row>
    <row r="756" spans="4:15" ht="14.25" customHeight="1" x14ac:dyDescent="0.35">
      <c r="D756" s="529"/>
      <c r="E756" s="529"/>
      <c r="K756" s="541"/>
      <c r="O756" s="529"/>
    </row>
    <row r="757" spans="4:15" ht="14.25" customHeight="1" x14ac:dyDescent="0.35">
      <c r="D757" s="529"/>
      <c r="E757" s="529"/>
      <c r="K757" s="541"/>
      <c r="O757" s="529"/>
    </row>
    <row r="758" spans="4:15" ht="14.25" customHeight="1" x14ac:dyDescent="0.35">
      <c r="D758" s="529"/>
      <c r="E758" s="529"/>
      <c r="K758" s="541"/>
      <c r="O758" s="529"/>
    </row>
    <row r="759" spans="4:15" ht="14.25" customHeight="1" x14ac:dyDescent="0.35">
      <c r="D759" s="529"/>
      <c r="E759" s="529"/>
      <c r="K759" s="541"/>
      <c r="O759" s="529"/>
    </row>
    <row r="760" spans="4:15" ht="14.25" customHeight="1" x14ac:dyDescent="0.35">
      <c r="D760" s="529"/>
      <c r="E760" s="529"/>
      <c r="K760" s="541"/>
      <c r="O760" s="529"/>
    </row>
    <row r="761" spans="4:15" ht="14.25" customHeight="1" x14ac:dyDescent="0.35">
      <c r="D761" s="529"/>
      <c r="E761" s="529"/>
      <c r="K761" s="541"/>
      <c r="O761" s="529"/>
    </row>
    <row r="762" spans="4:15" ht="14.25" customHeight="1" x14ac:dyDescent="0.35">
      <c r="D762" s="529"/>
      <c r="E762" s="529"/>
      <c r="K762" s="541"/>
      <c r="O762" s="529"/>
    </row>
    <row r="763" spans="4:15" ht="14.25" customHeight="1" x14ac:dyDescent="0.35">
      <c r="D763" s="529"/>
      <c r="E763" s="529"/>
      <c r="K763" s="541"/>
      <c r="O763" s="529"/>
    </row>
    <row r="764" spans="4:15" ht="14.25" customHeight="1" x14ac:dyDescent="0.35">
      <c r="D764" s="529"/>
      <c r="E764" s="529"/>
      <c r="K764" s="541"/>
      <c r="O764" s="529"/>
    </row>
    <row r="765" spans="4:15" ht="14.25" customHeight="1" x14ac:dyDescent="0.35">
      <c r="D765" s="529"/>
      <c r="E765" s="529"/>
      <c r="K765" s="541"/>
      <c r="O765" s="529"/>
    </row>
    <row r="766" spans="4:15" ht="14.25" customHeight="1" x14ac:dyDescent="0.35">
      <c r="D766" s="529"/>
      <c r="E766" s="529"/>
      <c r="K766" s="541"/>
      <c r="O766" s="529"/>
    </row>
    <row r="767" spans="4:15" ht="14.25" customHeight="1" x14ac:dyDescent="0.35">
      <c r="D767" s="529"/>
      <c r="E767" s="529"/>
      <c r="K767" s="541"/>
      <c r="O767" s="529"/>
    </row>
    <row r="768" spans="4:15" ht="14.25" customHeight="1" x14ac:dyDescent="0.35">
      <c r="D768" s="529"/>
      <c r="E768" s="529"/>
      <c r="K768" s="541"/>
      <c r="O768" s="529"/>
    </row>
    <row r="769" spans="4:15" ht="14.25" customHeight="1" x14ac:dyDescent="0.35">
      <c r="D769" s="529"/>
      <c r="E769" s="529"/>
      <c r="K769" s="541"/>
      <c r="O769" s="529"/>
    </row>
    <row r="770" spans="4:15" ht="14.25" customHeight="1" x14ac:dyDescent="0.35">
      <c r="D770" s="529"/>
      <c r="E770" s="529"/>
      <c r="K770" s="541"/>
      <c r="O770" s="529"/>
    </row>
    <row r="771" spans="4:15" ht="14.25" customHeight="1" x14ac:dyDescent="0.35">
      <c r="D771" s="529"/>
      <c r="E771" s="529"/>
      <c r="K771" s="541"/>
      <c r="O771" s="529"/>
    </row>
    <row r="772" spans="4:15" ht="14.25" customHeight="1" x14ac:dyDescent="0.35">
      <c r="D772" s="529"/>
      <c r="E772" s="529"/>
      <c r="K772" s="541"/>
      <c r="O772" s="529"/>
    </row>
    <row r="773" spans="4:15" ht="14.25" customHeight="1" x14ac:dyDescent="0.35">
      <c r="D773" s="529"/>
      <c r="E773" s="529"/>
      <c r="K773" s="541"/>
      <c r="O773" s="529"/>
    </row>
    <row r="774" spans="4:15" ht="14.25" customHeight="1" x14ac:dyDescent="0.35">
      <c r="D774" s="529"/>
      <c r="E774" s="529"/>
      <c r="K774" s="541"/>
      <c r="O774" s="529"/>
    </row>
    <row r="775" spans="4:15" ht="14.25" customHeight="1" x14ac:dyDescent="0.35">
      <c r="D775" s="529"/>
      <c r="E775" s="529"/>
      <c r="K775" s="541"/>
      <c r="O775" s="529"/>
    </row>
    <row r="776" spans="4:15" ht="14.25" customHeight="1" x14ac:dyDescent="0.35">
      <c r="D776" s="529"/>
      <c r="E776" s="529"/>
      <c r="K776" s="541"/>
      <c r="O776" s="529"/>
    </row>
    <row r="777" spans="4:15" ht="14.25" customHeight="1" x14ac:dyDescent="0.35">
      <c r="D777" s="529"/>
      <c r="E777" s="529"/>
      <c r="K777" s="541"/>
      <c r="O777" s="529"/>
    </row>
    <row r="778" spans="4:15" ht="14.25" customHeight="1" x14ac:dyDescent="0.35">
      <c r="D778" s="529"/>
      <c r="E778" s="529"/>
      <c r="K778" s="541"/>
      <c r="O778" s="529"/>
    </row>
    <row r="779" spans="4:15" ht="14.25" customHeight="1" x14ac:dyDescent="0.35">
      <c r="D779" s="529"/>
      <c r="E779" s="529"/>
      <c r="K779" s="541"/>
      <c r="O779" s="529"/>
    </row>
    <row r="780" spans="4:15" ht="14.25" customHeight="1" x14ac:dyDescent="0.35">
      <c r="D780" s="529"/>
      <c r="E780" s="529"/>
      <c r="K780" s="541"/>
      <c r="O780" s="529"/>
    </row>
    <row r="781" spans="4:15" ht="14.25" customHeight="1" x14ac:dyDescent="0.35">
      <c r="D781" s="529"/>
      <c r="E781" s="529"/>
      <c r="K781" s="541"/>
      <c r="O781" s="529"/>
    </row>
    <row r="782" spans="4:15" ht="14.25" customHeight="1" x14ac:dyDescent="0.35">
      <c r="D782" s="529"/>
      <c r="E782" s="529"/>
      <c r="K782" s="541"/>
      <c r="O782" s="529"/>
    </row>
    <row r="783" spans="4:15" ht="14.25" customHeight="1" x14ac:dyDescent="0.35">
      <c r="D783" s="529"/>
      <c r="E783" s="529"/>
      <c r="K783" s="541"/>
      <c r="O783" s="529"/>
    </row>
    <row r="784" spans="4:15" ht="14.25" customHeight="1" x14ac:dyDescent="0.35">
      <c r="D784" s="529"/>
      <c r="E784" s="529"/>
      <c r="K784" s="541"/>
      <c r="O784" s="529"/>
    </row>
    <row r="785" spans="4:15" ht="14.25" customHeight="1" x14ac:dyDescent="0.35">
      <c r="D785" s="529"/>
      <c r="E785" s="529"/>
      <c r="K785" s="541"/>
      <c r="O785" s="529"/>
    </row>
    <row r="786" spans="4:15" ht="14.25" customHeight="1" x14ac:dyDescent="0.35">
      <c r="D786" s="529"/>
      <c r="E786" s="529"/>
      <c r="K786" s="541"/>
      <c r="O786" s="529"/>
    </row>
    <row r="787" spans="4:15" ht="14.25" customHeight="1" x14ac:dyDescent="0.35">
      <c r="D787" s="529"/>
      <c r="E787" s="529"/>
      <c r="K787" s="541"/>
      <c r="O787" s="529"/>
    </row>
    <row r="788" spans="4:15" ht="14.25" customHeight="1" x14ac:dyDescent="0.35">
      <c r="D788" s="529"/>
      <c r="E788" s="529"/>
      <c r="K788" s="541"/>
      <c r="O788" s="529"/>
    </row>
    <row r="789" spans="4:15" ht="14.25" customHeight="1" x14ac:dyDescent="0.35">
      <c r="D789" s="529"/>
      <c r="E789" s="529"/>
      <c r="K789" s="541"/>
      <c r="O789" s="529"/>
    </row>
    <row r="790" spans="4:15" ht="14.25" customHeight="1" x14ac:dyDescent="0.35">
      <c r="D790" s="529"/>
      <c r="E790" s="529"/>
      <c r="K790" s="541"/>
      <c r="O790" s="529"/>
    </row>
    <row r="791" spans="4:15" ht="14.25" customHeight="1" x14ac:dyDescent="0.35">
      <c r="D791" s="529"/>
      <c r="E791" s="529"/>
      <c r="K791" s="541"/>
      <c r="O791" s="529"/>
    </row>
    <row r="792" spans="4:15" ht="14.25" customHeight="1" x14ac:dyDescent="0.35">
      <c r="D792" s="529"/>
      <c r="E792" s="529"/>
      <c r="K792" s="541"/>
      <c r="O792" s="529"/>
    </row>
    <row r="793" spans="4:15" ht="14.25" customHeight="1" x14ac:dyDescent="0.35">
      <c r="D793" s="529"/>
      <c r="E793" s="529"/>
      <c r="K793" s="541"/>
      <c r="O793" s="529"/>
    </row>
    <row r="794" spans="4:15" ht="14.25" customHeight="1" x14ac:dyDescent="0.35">
      <c r="D794" s="529"/>
      <c r="E794" s="529"/>
      <c r="K794" s="541"/>
      <c r="O794" s="529"/>
    </row>
    <row r="795" spans="4:15" ht="14.25" customHeight="1" x14ac:dyDescent="0.35">
      <c r="D795" s="529"/>
      <c r="E795" s="529"/>
      <c r="K795" s="541"/>
      <c r="O795" s="529"/>
    </row>
    <row r="796" spans="4:15" ht="14.25" customHeight="1" x14ac:dyDescent="0.35">
      <c r="D796" s="529"/>
      <c r="E796" s="529"/>
      <c r="K796" s="541"/>
      <c r="O796" s="529"/>
    </row>
    <row r="797" spans="4:15" ht="14.25" customHeight="1" x14ac:dyDescent="0.35">
      <c r="D797" s="529"/>
      <c r="E797" s="529"/>
      <c r="K797" s="541"/>
      <c r="O797" s="529"/>
    </row>
    <row r="798" spans="4:15" ht="14.25" customHeight="1" x14ac:dyDescent="0.35">
      <c r="D798" s="529"/>
      <c r="E798" s="529"/>
      <c r="K798" s="541"/>
      <c r="O798" s="529"/>
    </row>
    <row r="799" spans="4:15" ht="14.25" customHeight="1" x14ac:dyDescent="0.35">
      <c r="D799" s="529"/>
      <c r="E799" s="529"/>
      <c r="K799" s="541"/>
      <c r="O799" s="529"/>
    </row>
    <row r="800" spans="4:15" ht="14.25" customHeight="1" x14ac:dyDescent="0.35">
      <c r="D800" s="529"/>
      <c r="E800" s="529"/>
      <c r="K800" s="541"/>
      <c r="O800" s="529"/>
    </row>
    <row r="801" spans="4:15" ht="14.25" customHeight="1" x14ac:dyDescent="0.35">
      <c r="D801" s="529"/>
      <c r="E801" s="529"/>
      <c r="K801" s="541"/>
      <c r="O801" s="529"/>
    </row>
    <row r="802" spans="4:15" ht="14.25" customHeight="1" x14ac:dyDescent="0.35">
      <c r="D802" s="529"/>
      <c r="E802" s="529"/>
      <c r="K802" s="541"/>
      <c r="O802" s="529"/>
    </row>
    <row r="803" spans="4:15" ht="14.25" customHeight="1" x14ac:dyDescent="0.35">
      <c r="D803" s="529"/>
      <c r="E803" s="529"/>
      <c r="K803" s="541"/>
      <c r="O803" s="529"/>
    </row>
    <row r="804" spans="4:15" ht="14.25" customHeight="1" x14ac:dyDescent="0.35">
      <c r="D804" s="529"/>
      <c r="E804" s="529"/>
      <c r="K804" s="541"/>
      <c r="O804" s="529"/>
    </row>
    <row r="805" spans="4:15" ht="14.25" customHeight="1" x14ac:dyDescent="0.35">
      <c r="D805" s="529"/>
      <c r="E805" s="529"/>
      <c r="K805" s="541"/>
      <c r="O805" s="529"/>
    </row>
    <row r="806" spans="4:15" ht="14.25" customHeight="1" x14ac:dyDescent="0.35">
      <c r="D806" s="529"/>
      <c r="E806" s="529"/>
      <c r="K806" s="541"/>
      <c r="O806" s="529"/>
    </row>
    <row r="807" spans="4:15" ht="14.25" customHeight="1" x14ac:dyDescent="0.35">
      <c r="D807" s="529"/>
      <c r="E807" s="529"/>
      <c r="K807" s="541"/>
      <c r="O807" s="529"/>
    </row>
    <row r="808" spans="4:15" ht="14.25" customHeight="1" x14ac:dyDescent="0.35">
      <c r="D808" s="529"/>
      <c r="E808" s="529"/>
      <c r="K808" s="541"/>
      <c r="O808" s="529"/>
    </row>
    <row r="809" spans="4:15" ht="14.25" customHeight="1" x14ac:dyDescent="0.35">
      <c r="D809" s="529"/>
      <c r="E809" s="529"/>
      <c r="K809" s="541"/>
      <c r="O809" s="529"/>
    </row>
    <row r="810" spans="4:15" ht="14.25" customHeight="1" x14ac:dyDescent="0.35">
      <c r="D810" s="529"/>
      <c r="E810" s="529"/>
      <c r="K810" s="541"/>
      <c r="O810" s="529"/>
    </row>
    <row r="811" spans="4:15" ht="14.25" customHeight="1" x14ac:dyDescent="0.35">
      <c r="D811" s="529"/>
      <c r="E811" s="529"/>
      <c r="K811" s="541"/>
      <c r="O811" s="529"/>
    </row>
    <row r="812" spans="4:15" ht="14.25" customHeight="1" x14ac:dyDescent="0.35">
      <c r="D812" s="529"/>
      <c r="E812" s="529"/>
      <c r="K812" s="541"/>
      <c r="O812" s="529"/>
    </row>
    <row r="813" spans="4:15" ht="14.25" customHeight="1" x14ac:dyDescent="0.35">
      <c r="D813" s="529"/>
      <c r="E813" s="529"/>
      <c r="K813" s="541"/>
      <c r="O813" s="529"/>
    </row>
    <row r="814" spans="4:15" ht="14.25" customHeight="1" x14ac:dyDescent="0.35">
      <c r="D814" s="529"/>
      <c r="E814" s="529"/>
      <c r="K814" s="541"/>
      <c r="O814" s="529"/>
    </row>
    <row r="815" spans="4:15" ht="14.25" customHeight="1" x14ac:dyDescent="0.35">
      <c r="D815" s="529"/>
      <c r="E815" s="529"/>
      <c r="K815" s="541"/>
      <c r="O815" s="529"/>
    </row>
    <row r="816" spans="4:15" ht="14.25" customHeight="1" x14ac:dyDescent="0.35">
      <c r="D816" s="529"/>
      <c r="E816" s="529"/>
      <c r="K816" s="541"/>
      <c r="O816" s="529"/>
    </row>
    <row r="817" spans="4:15" ht="14.25" customHeight="1" x14ac:dyDescent="0.35">
      <c r="D817" s="529"/>
      <c r="E817" s="529"/>
      <c r="K817" s="541"/>
      <c r="O817" s="529"/>
    </row>
    <row r="818" spans="4:15" ht="14.25" customHeight="1" x14ac:dyDescent="0.35">
      <c r="D818" s="529"/>
      <c r="E818" s="529"/>
      <c r="K818" s="541"/>
      <c r="O818" s="529"/>
    </row>
    <row r="819" spans="4:15" ht="14.25" customHeight="1" x14ac:dyDescent="0.35">
      <c r="D819" s="529"/>
      <c r="E819" s="529"/>
      <c r="K819" s="541"/>
      <c r="O819" s="529"/>
    </row>
    <row r="820" spans="4:15" ht="14.25" customHeight="1" x14ac:dyDescent="0.35">
      <c r="D820" s="529"/>
      <c r="E820" s="529"/>
      <c r="K820" s="541"/>
      <c r="O820" s="529"/>
    </row>
    <row r="821" spans="4:15" ht="14.25" customHeight="1" x14ac:dyDescent="0.35">
      <c r="D821" s="529"/>
      <c r="E821" s="529"/>
      <c r="K821" s="541"/>
      <c r="O821" s="529"/>
    </row>
    <row r="822" spans="4:15" ht="14.25" customHeight="1" x14ac:dyDescent="0.35">
      <c r="D822" s="529"/>
      <c r="E822" s="529"/>
      <c r="K822" s="541"/>
      <c r="O822" s="529"/>
    </row>
    <row r="823" spans="4:15" ht="14.25" customHeight="1" x14ac:dyDescent="0.35">
      <c r="D823" s="529"/>
      <c r="E823" s="529"/>
      <c r="K823" s="541"/>
      <c r="O823" s="529"/>
    </row>
    <row r="824" spans="4:15" ht="14.25" customHeight="1" x14ac:dyDescent="0.35">
      <c r="D824" s="529"/>
      <c r="E824" s="529"/>
      <c r="K824" s="541"/>
      <c r="O824" s="529"/>
    </row>
    <row r="825" spans="4:15" ht="14.25" customHeight="1" x14ac:dyDescent="0.35">
      <c r="D825" s="529"/>
      <c r="E825" s="529"/>
      <c r="K825" s="541"/>
      <c r="O825" s="529"/>
    </row>
    <row r="826" spans="4:15" ht="14.25" customHeight="1" x14ac:dyDescent="0.35">
      <c r="D826" s="529"/>
      <c r="E826" s="529"/>
      <c r="K826" s="541"/>
      <c r="O826" s="529"/>
    </row>
    <row r="827" spans="4:15" ht="14.25" customHeight="1" x14ac:dyDescent="0.35">
      <c r="D827" s="529"/>
      <c r="E827" s="529"/>
      <c r="K827" s="541"/>
      <c r="O827" s="529"/>
    </row>
    <row r="828" spans="4:15" ht="14.25" customHeight="1" x14ac:dyDescent="0.35">
      <c r="D828" s="529"/>
      <c r="E828" s="529"/>
      <c r="K828" s="541"/>
      <c r="O828" s="529"/>
    </row>
    <row r="829" spans="4:15" ht="14.25" customHeight="1" x14ac:dyDescent="0.35">
      <c r="D829" s="529"/>
      <c r="E829" s="529"/>
      <c r="K829" s="541"/>
      <c r="O829" s="529"/>
    </row>
    <row r="830" spans="4:15" ht="14.25" customHeight="1" x14ac:dyDescent="0.35">
      <c r="D830" s="529"/>
      <c r="E830" s="529"/>
      <c r="K830" s="541"/>
      <c r="O830" s="529"/>
    </row>
    <row r="831" spans="4:15" ht="14.25" customHeight="1" x14ac:dyDescent="0.35">
      <c r="D831" s="529"/>
      <c r="E831" s="529"/>
      <c r="K831" s="541"/>
      <c r="O831" s="529"/>
    </row>
    <row r="832" spans="4:15" ht="14.25" customHeight="1" x14ac:dyDescent="0.35">
      <c r="D832" s="529"/>
      <c r="E832" s="529"/>
      <c r="K832" s="541"/>
      <c r="O832" s="529"/>
    </row>
    <row r="833" spans="4:15" ht="14.25" customHeight="1" x14ac:dyDescent="0.35">
      <c r="D833" s="529"/>
      <c r="E833" s="529"/>
      <c r="K833" s="541"/>
      <c r="O833" s="529"/>
    </row>
    <row r="834" spans="4:15" ht="14.25" customHeight="1" x14ac:dyDescent="0.35">
      <c r="D834" s="529"/>
      <c r="E834" s="529"/>
      <c r="K834" s="541"/>
      <c r="O834" s="529"/>
    </row>
    <row r="835" spans="4:15" ht="14.25" customHeight="1" x14ac:dyDescent="0.35">
      <c r="D835" s="529"/>
      <c r="E835" s="529"/>
      <c r="K835" s="541"/>
      <c r="O835" s="529"/>
    </row>
    <row r="836" spans="4:15" ht="14.25" customHeight="1" x14ac:dyDescent="0.35">
      <c r="D836" s="529"/>
      <c r="E836" s="529"/>
      <c r="K836" s="541"/>
      <c r="O836" s="529"/>
    </row>
    <row r="837" spans="4:15" ht="14.25" customHeight="1" x14ac:dyDescent="0.35">
      <c r="D837" s="529"/>
      <c r="E837" s="529"/>
      <c r="K837" s="541"/>
      <c r="O837" s="529"/>
    </row>
    <row r="838" spans="4:15" ht="14.25" customHeight="1" x14ac:dyDescent="0.35">
      <c r="D838" s="529"/>
      <c r="E838" s="529"/>
      <c r="K838" s="541"/>
      <c r="O838" s="529"/>
    </row>
    <row r="839" spans="4:15" ht="14.25" customHeight="1" x14ac:dyDescent="0.35">
      <c r="D839" s="529"/>
      <c r="E839" s="529"/>
      <c r="K839" s="541"/>
      <c r="O839" s="529"/>
    </row>
    <row r="840" spans="4:15" ht="14.25" customHeight="1" x14ac:dyDescent="0.35">
      <c r="D840" s="529"/>
      <c r="E840" s="529"/>
      <c r="K840" s="541"/>
      <c r="O840" s="529"/>
    </row>
    <row r="841" spans="4:15" ht="14.25" customHeight="1" x14ac:dyDescent="0.35">
      <c r="D841" s="529"/>
      <c r="E841" s="529"/>
      <c r="K841" s="541"/>
      <c r="O841" s="529"/>
    </row>
    <row r="842" spans="4:15" ht="14.25" customHeight="1" x14ac:dyDescent="0.35">
      <c r="D842" s="529"/>
      <c r="E842" s="529"/>
      <c r="K842" s="541"/>
      <c r="O842" s="529"/>
    </row>
    <row r="843" spans="4:15" ht="14.25" customHeight="1" x14ac:dyDescent="0.35">
      <c r="D843" s="529"/>
      <c r="E843" s="529"/>
      <c r="K843" s="541"/>
      <c r="O843" s="529"/>
    </row>
    <row r="844" spans="4:15" ht="14.25" customHeight="1" x14ac:dyDescent="0.35">
      <c r="D844" s="529"/>
      <c r="E844" s="529"/>
      <c r="K844" s="541"/>
      <c r="O844" s="529"/>
    </row>
    <row r="845" spans="4:15" ht="14.25" customHeight="1" x14ac:dyDescent="0.35">
      <c r="D845" s="529"/>
      <c r="E845" s="529"/>
      <c r="K845" s="541"/>
      <c r="O845" s="529"/>
    </row>
    <row r="846" spans="4:15" ht="14.25" customHeight="1" x14ac:dyDescent="0.35">
      <c r="D846" s="529"/>
      <c r="E846" s="529"/>
      <c r="K846" s="541"/>
      <c r="O846" s="529"/>
    </row>
    <row r="847" spans="4:15" ht="14.25" customHeight="1" x14ac:dyDescent="0.35">
      <c r="D847" s="529"/>
      <c r="E847" s="529"/>
      <c r="K847" s="541"/>
      <c r="O847" s="529"/>
    </row>
    <row r="848" spans="4:15" ht="14.25" customHeight="1" x14ac:dyDescent="0.35">
      <c r="D848" s="529"/>
      <c r="E848" s="529"/>
      <c r="K848" s="541"/>
      <c r="O848" s="529"/>
    </row>
    <row r="849" spans="4:15" ht="14.25" customHeight="1" x14ac:dyDescent="0.35">
      <c r="D849" s="529"/>
      <c r="E849" s="529"/>
      <c r="K849" s="541"/>
      <c r="O849" s="529"/>
    </row>
    <row r="850" spans="4:15" ht="14.25" customHeight="1" x14ac:dyDescent="0.35">
      <c r="D850" s="529"/>
      <c r="E850" s="529"/>
      <c r="K850" s="541"/>
      <c r="O850" s="529"/>
    </row>
    <row r="851" spans="4:15" ht="14.25" customHeight="1" x14ac:dyDescent="0.35">
      <c r="D851" s="529"/>
      <c r="E851" s="529"/>
      <c r="K851" s="541"/>
      <c r="O851" s="529"/>
    </row>
    <row r="852" spans="4:15" ht="14.25" customHeight="1" x14ac:dyDescent="0.35">
      <c r="D852" s="529"/>
      <c r="E852" s="529"/>
      <c r="K852" s="541"/>
      <c r="O852" s="529"/>
    </row>
    <row r="853" spans="4:15" ht="14.25" customHeight="1" x14ac:dyDescent="0.35">
      <c r="D853" s="529"/>
      <c r="E853" s="529"/>
      <c r="K853" s="541"/>
      <c r="O853" s="529"/>
    </row>
    <row r="854" spans="4:15" ht="14.25" customHeight="1" x14ac:dyDescent="0.35">
      <c r="D854" s="529"/>
      <c r="E854" s="529"/>
      <c r="K854" s="541"/>
      <c r="O854" s="529"/>
    </row>
    <row r="855" spans="4:15" ht="14.25" customHeight="1" x14ac:dyDescent="0.35">
      <c r="D855" s="529"/>
      <c r="E855" s="529"/>
      <c r="K855" s="541"/>
      <c r="O855" s="529"/>
    </row>
    <row r="856" spans="4:15" ht="14.25" customHeight="1" x14ac:dyDescent="0.35">
      <c r="D856" s="529"/>
      <c r="E856" s="529"/>
      <c r="K856" s="541"/>
      <c r="O856" s="529"/>
    </row>
    <row r="857" spans="4:15" ht="14.25" customHeight="1" x14ac:dyDescent="0.35">
      <c r="D857" s="529"/>
      <c r="E857" s="529"/>
      <c r="K857" s="541"/>
      <c r="O857" s="529"/>
    </row>
    <row r="858" spans="4:15" ht="14.25" customHeight="1" x14ac:dyDescent="0.35">
      <c r="D858" s="529"/>
      <c r="E858" s="529"/>
      <c r="K858" s="541"/>
      <c r="O858" s="529"/>
    </row>
    <row r="859" spans="4:15" ht="14.25" customHeight="1" x14ac:dyDescent="0.35">
      <c r="D859" s="529"/>
      <c r="E859" s="529"/>
      <c r="K859" s="541"/>
      <c r="O859" s="529"/>
    </row>
    <row r="860" spans="4:15" ht="14.25" customHeight="1" x14ac:dyDescent="0.35">
      <c r="D860" s="529"/>
      <c r="E860" s="529"/>
      <c r="K860" s="541"/>
      <c r="O860" s="529"/>
    </row>
    <row r="861" spans="4:15" ht="14.25" customHeight="1" x14ac:dyDescent="0.35">
      <c r="D861" s="529"/>
      <c r="E861" s="529"/>
      <c r="K861" s="541"/>
      <c r="O861" s="529"/>
    </row>
    <row r="862" spans="4:15" ht="14.25" customHeight="1" x14ac:dyDescent="0.35">
      <c r="D862" s="529"/>
      <c r="E862" s="529"/>
      <c r="K862" s="541"/>
      <c r="O862" s="529"/>
    </row>
    <row r="863" spans="4:15" ht="14.25" customHeight="1" x14ac:dyDescent="0.35">
      <c r="D863" s="529"/>
      <c r="E863" s="529"/>
      <c r="K863" s="541"/>
      <c r="O863" s="529"/>
    </row>
    <row r="864" spans="4:15" ht="14.25" customHeight="1" x14ac:dyDescent="0.35">
      <c r="D864" s="529"/>
      <c r="E864" s="529"/>
      <c r="K864" s="541"/>
      <c r="O864" s="529"/>
    </row>
    <row r="865" spans="4:15" ht="14.25" customHeight="1" x14ac:dyDescent="0.35">
      <c r="D865" s="529"/>
      <c r="E865" s="529"/>
      <c r="K865" s="541"/>
      <c r="O865" s="529"/>
    </row>
    <row r="866" spans="4:15" ht="14.25" customHeight="1" x14ac:dyDescent="0.35">
      <c r="D866" s="529"/>
      <c r="E866" s="529"/>
      <c r="K866" s="541"/>
      <c r="O866" s="529"/>
    </row>
    <row r="867" spans="4:15" ht="14.25" customHeight="1" x14ac:dyDescent="0.35">
      <c r="D867" s="529"/>
      <c r="E867" s="529"/>
      <c r="K867" s="541"/>
      <c r="O867" s="529"/>
    </row>
    <row r="868" spans="4:15" ht="14.25" customHeight="1" x14ac:dyDescent="0.35">
      <c r="D868" s="529"/>
      <c r="E868" s="529"/>
      <c r="K868" s="541"/>
      <c r="O868" s="529"/>
    </row>
    <row r="869" spans="4:15" ht="14.25" customHeight="1" x14ac:dyDescent="0.35">
      <c r="D869" s="529"/>
      <c r="E869" s="529"/>
      <c r="K869" s="541"/>
      <c r="O869" s="529"/>
    </row>
    <row r="870" spans="4:15" ht="14.25" customHeight="1" x14ac:dyDescent="0.35">
      <c r="D870" s="529"/>
      <c r="E870" s="529"/>
      <c r="K870" s="541"/>
      <c r="O870" s="529"/>
    </row>
    <row r="871" spans="4:15" ht="14.25" customHeight="1" x14ac:dyDescent="0.35">
      <c r="D871" s="529"/>
      <c r="E871" s="529"/>
      <c r="K871" s="541"/>
      <c r="O871" s="529"/>
    </row>
    <row r="872" spans="4:15" ht="14.25" customHeight="1" x14ac:dyDescent="0.35">
      <c r="D872" s="529"/>
      <c r="E872" s="529"/>
      <c r="K872" s="541"/>
      <c r="O872" s="529"/>
    </row>
    <row r="873" spans="4:15" ht="14.25" customHeight="1" x14ac:dyDescent="0.35">
      <c r="D873" s="529"/>
      <c r="E873" s="529"/>
      <c r="K873" s="541"/>
      <c r="O873" s="529"/>
    </row>
    <row r="874" spans="4:15" ht="14.25" customHeight="1" x14ac:dyDescent="0.35">
      <c r="D874" s="529"/>
      <c r="E874" s="529"/>
      <c r="K874" s="541"/>
      <c r="O874" s="529"/>
    </row>
    <row r="875" spans="4:15" ht="14.25" customHeight="1" x14ac:dyDescent="0.35">
      <c r="D875" s="529"/>
      <c r="E875" s="529"/>
      <c r="K875" s="541"/>
      <c r="O875" s="529"/>
    </row>
    <row r="876" spans="4:15" ht="14.25" customHeight="1" x14ac:dyDescent="0.35">
      <c r="D876" s="529"/>
      <c r="E876" s="529"/>
      <c r="K876" s="541"/>
      <c r="O876" s="529"/>
    </row>
    <row r="877" spans="4:15" ht="14.25" customHeight="1" x14ac:dyDescent="0.35">
      <c r="D877" s="529"/>
      <c r="E877" s="529"/>
      <c r="K877" s="541"/>
      <c r="O877" s="529"/>
    </row>
    <row r="878" spans="4:15" ht="14.25" customHeight="1" x14ac:dyDescent="0.35">
      <c r="D878" s="529"/>
      <c r="E878" s="529"/>
      <c r="K878" s="541"/>
      <c r="O878" s="529"/>
    </row>
    <row r="879" spans="4:15" ht="14.25" customHeight="1" x14ac:dyDescent="0.35">
      <c r="D879" s="529"/>
      <c r="E879" s="529"/>
      <c r="K879" s="541"/>
      <c r="O879" s="529"/>
    </row>
  </sheetData>
  <sheetProtection algorithmName="SHA-512" hashValue="9SVkF0UjcfF0ALc30YGOvthj6MsAA8BYESiedhEWW/vR9HPSEBdQDYruMk0oAjZ51UE7zf8YXCJq7SiLQnNWrA==" saltValue="VOH8wjl8mKbw03C+Z4EIDQ==" spinCount="100000" sheet="1" objects="1" scenarios="1"/>
  <mergeCells count="2">
    <mergeCell ref="V6:AA6"/>
    <mergeCell ref="AE28:AF28"/>
  </mergeCells>
  <phoneticPr fontId="29" type="noConversion"/>
  <printOptions headings="1"/>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C0F00-D728-4FF5-A2C2-6425E7406A94}">
  <sheetPr codeName="Sheet25"/>
  <dimension ref="B2:R10"/>
  <sheetViews>
    <sheetView topLeftCell="E1" workbookViewId="0">
      <selection activeCell="R10" sqref="R10"/>
    </sheetView>
  </sheetViews>
  <sheetFormatPr defaultRowHeight="14.5" x14ac:dyDescent="0.35"/>
  <cols>
    <col min="2" max="2" width="6.54296875" bestFit="1" customWidth="1"/>
    <col min="3" max="3" width="10.08984375" bestFit="1" customWidth="1"/>
    <col min="4" max="4" width="14.81640625" bestFit="1" customWidth="1"/>
    <col min="5" max="5" width="10.36328125" bestFit="1" customWidth="1"/>
    <col min="6" max="6" width="22.08984375" bestFit="1" customWidth="1"/>
    <col min="8" max="8" width="6.54296875" bestFit="1" customWidth="1"/>
    <col min="9" max="9" width="11.08984375" bestFit="1" customWidth="1"/>
    <col min="10" max="10" width="14.81640625" bestFit="1" customWidth="1"/>
    <col min="11" max="11" width="10.36328125" bestFit="1" customWidth="1"/>
    <col min="12" max="12" width="22" bestFit="1" customWidth="1"/>
    <col min="14" max="14" width="8.54296875" bestFit="1" customWidth="1"/>
    <col min="15" max="15" width="7.453125" bestFit="1" customWidth="1"/>
    <col min="16" max="16" width="12.36328125" bestFit="1" customWidth="1"/>
    <col min="17" max="17" width="10.36328125" bestFit="1" customWidth="1"/>
    <col min="18" max="18" width="22.08984375" bestFit="1" customWidth="1"/>
  </cols>
  <sheetData>
    <row r="2" spans="2:18" x14ac:dyDescent="0.35">
      <c r="B2" s="207" t="s">
        <v>380</v>
      </c>
      <c r="C2" s="207"/>
      <c r="D2" s="207"/>
      <c r="E2" s="207"/>
      <c r="F2" s="207"/>
      <c r="G2" s="207"/>
      <c r="H2" s="207" t="s">
        <v>381</v>
      </c>
      <c r="I2" s="207"/>
      <c r="J2" s="207"/>
      <c r="K2" s="207"/>
      <c r="L2" s="207"/>
      <c r="M2" s="207"/>
      <c r="N2" s="207" t="s">
        <v>382</v>
      </c>
    </row>
    <row r="4" spans="2:18" x14ac:dyDescent="0.35">
      <c r="B4" s="952" t="s">
        <v>13</v>
      </c>
      <c r="C4" s="952" t="s">
        <v>353</v>
      </c>
      <c r="D4" s="952" t="s">
        <v>162</v>
      </c>
      <c r="E4" s="952" t="s">
        <v>14</v>
      </c>
      <c r="F4" s="952" t="s">
        <v>445</v>
      </c>
      <c r="H4" s="952" t="s">
        <v>13</v>
      </c>
      <c r="I4" s="952" t="s">
        <v>353</v>
      </c>
      <c r="J4" s="952" t="s">
        <v>162</v>
      </c>
      <c r="K4" s="952" t="s">
        <v>14</v>
      </c>
      <c r="L4" s="952" t="s">
        <v>445</v>
      </c>
      <c r="N4" s="952" t="s">
        <v>13</v>
      </c>
      <c r="O4" s="952" t="s">
        <v>353</v>
      </c>
      <c r="P4" s="952" t="s">
        <v>162</v>
      </c>
      <c r="Q4" s="952" t="s">
        <v>14</v>
      </c>
      <c r="R4" s="952" t="s">
        <v>445</v>
      </c>
    </row>
    <row r="5" spans="2:18" x14ac:dyDescent="0.35">
      <c r="B5" s="901">
        <v>45566</v>
      </c>
      <c r="C5" t="s">
        <v>400</v>
      </c>
      <c r="D5" t="s">
        <v>446</v>
      </c>
      <c r="E5" s="953">
        <v>10682.55</v>
      </c>
      <c r="F5" s="953">
        <f>E5*1.12</f>
        <v>11964.456</v>
      </c>
      <c r="H5" s="901">
        <v>45566</v>
      </c>
      <c r="I5" t="s">
        <v>401</v>
      </c>
      <c r="J5" t="s">
        <v>446</v>
      </c>
      <c r="K5" s="953">
        <v>10682.55</v>
      </c>
      <c r="L5" s="953">
        <f>K5*1.12</f>
        <v>11964.456</v>
      </c>
      <c r="N5" s="966">
        <f>DATE(2025,7,1)</f>
        <v>45839</v>
      </c>
      <c r="O5" s="969" t="s">
        <v>402</v>
      </c>
      <c r="P5" t="s">
        <v>446</v>
      </c>
      <c r="Q5" s="953">
        <v>15525.68</v>
      </c>
      <c r="R5" s="953">
        <f>Q5*1.12</f>
        <v>17388.761600000002</v>
      </c>
    </row>
    <row r="6" spans="2:18" x14ac:dyDescent="0.35">
      <c r="E6" s="953"/>
      <c r="F6" s="953">
        <f t="shared" ref="F6:F9" si="0">E6*1.12</f>
        <v>0</v>
      </c>
      <c r="K6" s="953"/>
      <c r="L6" s="953">
        <f t="shared" ref="L6:L9" si="1">K6*1.12</f>
        <v>0</v>
      </c>
      <c r="Q6" s="953"/>
      <c r="R6" s="953"/>
    </row>
    <row r="7" spans="2:18" x14ac:dyDescent="0.35">
      <c r="E7" s="953"/>
      <c r="F7" s="953">
        <f t="shared" si="0"/>
        <v>0</v>
      </c>
      <c r="K7" s="953"/>
      <c r="L7" s="953">
        <f t="shared" si="1"/>
        <v>0</v>
      </c>
      <c r="Q7" s="953"/>
      <c r="R7" s="953"/>
    </row>
    <row r="8" spans="2:18" x14ac:dyDescent="0.35">
      <c r="E8" s="953"/>
      <c r="F8" s="953">
        <f t="shared" si="0"/>
        <v>0</v>
      </c>
      <c r="K8" s="953"/>
      <c r="L8" s="953">
        <f t="shared" si="1"/>
        <v>0</v>
      </c>
      <c r="Q8" s="953"/>
      <c r="R8" s="953"/>
    </row>
    <row r="9" spans="2:18" x14ac:dyDescent="0.35">
      <c r="E9" s="953"/>
      <c r="F9" s="953">
        <f t="shared" si="0"/>
        <v>0</v>
      </c>
      <c r="K9" s="953"/>
      <c r="L9" s="953">
        <f t="shared" si="1"/>
        <v>0</v>
      </c>
      <c r="Q9" s="953"/>
      <c r="R9" s="953"/>
    </row>
    <row r="10" spans="2:18" s="207" customFormat="1" x14ac:dyDescent="0.35">
      <c r="F10" s="954">
        <f>SUM(F5:F9)</f>
        <v>11964.456</v>
      </c>
      <c r="L10" s="954">
        <f>SUM(L5:L9)</f>
        <v>11964.456</v>
      </c>
      <c r="Q10" s="967"/>
      <c r="R10" s="967">
        <f>SUM(R5:R9)</f>
        <v>17388.761600000002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7" filterMode="1">
    <tabColor rgb="FFFFFF00"/>
  </sheetPr>
  <dimension ref="A1:AC240"/>
  <sheetViews>
    <sheetView tabSelected="1" zoomScaleNormal="100" workbookViewId="0">
      <pane xSplit="3" ySplit="6" topLeftCell="D7" activePane="bottomRight" state="frozen"/>
      <selection pane="topRight" activeCell="D1" sqref="D1"/>
      <selection pane="bottomLeft" activeCell="A7" sqref="A7"/>
      <selection pane="bottomRight" activeCell="F20" sqref="F20"/>
    </sheetView>
  </sheetViews>
  <sheetFormatPr defaultColWidth="8.81640625" defaultRowHeight="13" x14ac:dyDescent="0.3"/>
  <cols>
    <col min="1" max="1" width="14.1796875" style="241" hidden="1" customWidth="1"/>
    <col min="2" max="2" width="7.1796875" style="241" hidden="1" customWidth="1"/>
    <col min="3" max="3" width="12.453125" style="711" customWidth="1"/>
    <col min="4" max="4" width="11.90625" style="158" customWidth="1"/>
    <col min="5" max="5" width="12.1796875" style="710" customWidth="1"/>
    <col min="6" max="6" width="13.453125" style="710" customWidth="1"/>
    <col min="7" max="7" width="10.81640625" style="710" bestFit="1" customWidth="1"/>
    <col min="8" max="8" width="13.1796875" style="710" bestFit="1" customWidth="1"/>
    <col min="9" max="9" width="11.54296875" style="710" bestFit="1" customWidth="1"/>
    <col min="10" max="10" width="11.54296875" style="710" customWidth="1"/>
    <col min="11" max="11" width="17.54296875" style="710" bestFit="1" customWidth="1"/>
    <col min="12" max="12" width="11" style="843" customWidth="1"/>
    <col min="13" max="13" width="11.54296875" style="710" bestFit="1" customWidth="1"/>
    <col min="14" max="14" width="14.1796875" style="710" customWidth="1"/>
    <col min="15" max="15" width="13.1796875" style="710" customWidth="1"/>
    <col min="16" max="16" width="12.81640625" style="711" customWidth="1"/>
    <col min="17" max="17" width="13.81640625" style="710" bestFit="1" customWidth="1"/>
    <col min="18" max="18" width="15.90625" style="710" customWidth="1"/>
    <col min="19" max="21" width="14" style="710" customWidth="1"/>
    <col min="22" max="22" width="12.54296875" style="710" customWidth="1"/>
    <col min="23" max="23" width="10.81640625" style="844" customWidth="1"/>
    <col min="24" max="24" width="12.1796875" style="844" customWidth="1"/>
    <col min="25" max="25" width="8" style="844" customWidth="1"/>
    <col min="26" max="26" width="10.81640625" style="844" customWidth="1"/>
    <col min="27" max="27" width="9.81640625" style="844" customWidth="1"/>
    <col min="28" max="28" width="12.81640625" style="844" customWidth="1"/>
    <col min="29" max="29" width="11" style="844" customWidth="1"/>
    <col min="30" max="30" width="9.1796875" style="710" customWidth="1"/>
    <col min="31" max="31" width="14.453125" style="710" customWidth="1"/>
    <col min="32" max="32" width="11" style="710" customWidth="1"/>
    <col min="33" max="35" width="9.1796875" style="710" customWidth="1"/>
    <col min="36" max="16384" width="8.81640625" style="710"/>
  </cols>
  <sheetData>
    <row r="1" spans="1:29" x14ac:dyDescent="0.3">
      <c r="A1" s="710"/>
      <c r="B1" s="710"/>
      <c r="C1" s="750" t="str">
        <f>'INTERNAL PRICELIST'!A1</f>
        <v>The Southprime Flats</v>
      </c>
      <c r="D1" s="710"/>
    </row>
    <row r="2" spans="1:29" x14ac:dyDescent="0.3">
      <c r="A2" s="710"/>
      <c r="B2" s="710"/>
      <c r="C2" s="750" t="s">
        <v>240</v>
      </c>
      <c r="D2" s="710"/>
    </row>
    <row r="3" spans="1:29" x14ac:dyDescent="0.3">
      <c r="A3" s="710"/>
      <c r="B3" s="710"/>
      <c r="C3" s="750" t="s">
        <v>387</v>
      </c>
      <c r="D3" s="710"/>
    </row>
    <row r="4" spans="1:29" x14ac:dyDescent="0.3">
      <c r="A4" s="711"/>
      <c r="B4" s="711"/>
      <c r="C4" s="845" t="s">
        <v>473</v>
      </c>
      <c r="D4" s="711"/>
      <c r="E4" s="711"/>
      <c r="F4" s="711"/>
      <c r="G4" s="711"/>
      <c r="H4" s="711"/>
      <c r="I4" s="711"/>
      <c r="J4" s="711"/>
      <c r="K4" s="711"/>
      <c r="L4" s="846"/>
      <c r="M4" s="711"/>
      <c r="N4" s="711"/>
      <c r="O4" s="711"/>
      <c r="Q4" s="711"/>
      <c r="R4" s="711"/>
      <c r="S4" s="711"/>
    </row>
    <row r="5" spans="1:29" ht="13.5" thickBot="1" x14ac:dyDescent="0.35">
      <c r="A5" s="1111" t="s">
        <v>260</v>
      </c>
      <c r="B5" s="1111"/>
      <c r="D5" s="847"/>
      <c r="F5" s="711"/>
    </row>
    <row r="6" spans="1:29" ht="39.5" thickBot="1" x14ac:dyDescent="0.35">
      <c r="A6" s="848" t="s">
        <v>257</v>
      </c>
      <c r="B6" s="849" t="s">
        <v>204</v>
      </c>
      <c r="C6" s="890" t="s">
        <v>396</v>
      </c>
      <c r="D6" s="890" t="s">
        <v>243</v>
      </c>
      <c r="E6" s="891" t="s">
        <v>246</v>
      </c>
      <c r="F6" s="892" t="s">
        <v>354</v>
      </c>
      <c r="G6" s="893" t="s">
        <v>247</v>
      </c>
      <c r="H6" s="894" t="s">
        <v>248</v>
      </c>
      <c r="I6" s="894" t="s">
        <v>394</v>
      </c>
      <c r="J6" s="895" t="str">
        <f>'INTERNAL PRICELIST'!I6</f>
        <v>VAT</v>
      </c>
      <c r="K6" s="895" t="s">
        <v>150</v>
      </c>
      <c r="L6" s="896" t="s">
        <v>250</v>
      </c>
      <c r="M6" s="895" t="s">
        <v>251</v>
      </c>
      <c r="N6" s="895" t="s">
        <v>252</v>
      </c>
      <c r="O6" s="895" t="s">
        <v>253</v>
      </c>
      <c r="P6" s="894" t="s">
        <v>254</v>
      </c>
      <c r="Q6" s="895" t="s">
        <v>255</v>
      </c>
      <c r="R6" s="895" t="s">
        <v>256</v>
      </c>
      <c r="S6" s="894" t="s">
        <v>424</v>
      </c>
      <c r="T6" s="894" t="s">
        <v>425</v>
      </c>
      <c r="U6" s="897" t="s">
        <v>426</v>
      </c>
      <c r="W6" s="844" t="s">
        <v>388</v>
      </c>
      <c r="X6" s="844" t="s">
        <v>277</v>
      </c>
      <c r="Y6" s="844" t="s">
        <v>389</v>
      </c>
      <c r="Z6" s="844" t="s">
        <v>390</v>
      </c>
      <c r="AA6" s="844" t="s">
        <v>391</v>
      </c>
      <c r="AB6" s="844" t="s">
        <v>392</v>
      </c>
      <c r="AC6" s="844" t="s">
        <v>393</v>
      </c>
    </row>
    <row r="7" spans="1:29" hidden="1" x14ac:dyDescent="0.3">
      <c r="A7" s="850" t="str">
        <f>E7</f>
        <v>GF-B1-1</v>
      </c>
      <c r="B7" s="851" t="str">
        <f>'Corrected Internal_Parking B123'!CA12</f>
        <v>HOLD</v>
      </c>
      <c r="C7" s="822" t="str">
        <f>'Corrected Internal_Parking B123'!C12</f>
        <v>Building 1</v>
      </c>
      <c r="D7" s="852" t="str">
        <f>'Corrected Internal_Parking B123'!E12</f>
        <v>Ground Floor</v>
      </c>
      <c r="E7" s="853" t="str">
        <f>'Corrected Internal_Parking B123'!F12</f>
        <v>GF-B1-1</v>
      </c>
      <c r="F7" s="854" t="str">
        <f>'Corrected Internal_Parking B123'!G12</f>
        <v>Single Slot</v>
      </c>
      <c r="G7" s="855">
        <f>'Corrected Internal_Parking B123'!H12</f>
        <v>13.5</v>
      </c>
      <c r="H7" s="856">
        <f>'Corrected Internal_Parking B123'!AT12</f>
        <v>800485.64820000005</v>
      </c>
      <c r="I7" s="857">
        <f>'Corrected Internal_Parking B123'!AV12</f>
        <v>80048.564820000014</v>
      </c>
      <c r="J7" s="858">
        <f>'Corrected Internal_Parking B123'!AU12</f>
        <v>96058.277784000005</v>
      </c>
      <c r="K7" s="855">
        <f>'Corrected Internal_Parking B123'!AW12</f>
        <v>976592.49080400006</v>
      </c>
      <c r="L7" s="859">
        <f>'Corrected Internal_Parking B123'!AX12</f>
        <v>0.15</v>
      </c>
      <c r="M7" s="856">
        <f>'Corrected Internal_Parking B123'!AY12</f>
        <v>146488.8736206</v>
      </c>
      <c r="N7" s="856">
        <f>'Corrected Internal_Parking B123'!AZ12</f>
        <v>10000</v>
      </c>
      <c r="O7" s="856">
        <f>'Corrected Internal_Parking B123'!BA12</f>
        <v>136488.8736206</v>
      </c>
      <c r="P7" s="860">
        <f>'Corrected Internal_Parking B123'!BB12</f>
        <v>1</v>
      </c>
      <c r="Q7" s="856">
        <f>'Corrected Internal_Parking B123'!BC12</f>
        <v>136488.8736206</v>
      </c>
      <c r="R7" s="856">
        <f>'Corrected Internal_Parking B123'!BE12</f>
        <v>830103.61718340009</v>
      </c>
      <c r="S7" s="856">
        <f>'Corrected Internal_Parking B123'!BF12</f>
        <v>7461.2059886130055</v>
      </c>
      <c r="T7" s="856">
        <f>'Corrected Internal_Parking B123'!BG12</f>
        <v>9638.2068585043471</v>
      </c>
      <c r="U7" s="856">
        <f>'Corrected Internal_Parking B123'!BH12</f>
        <v>16437.046532910812</v>
      </c>
      <c r="W7" s="861">
        <f>H7-'Corrected Internal_Parking B123'!AT12</f>
        <v>0</v>
      </c>
      <c r="X7" s="861">
        <f>J7-'Corrected Internal_Parking B123'!AU12</f>
        <v>0</v>
      </c>
      <c r="Y7" s="861">
        <f>I7-'Corrected Internal_Parking B123'!AV12</f>
        <v>0</v>
      </c>
      <c r="Z7" s="861">
        <f>K7-'Corrected Internal_Parking B123'!AW12</f>
        <v>0</v>
      </c>
      <c r="AA7" s="862">
        <f>L7-'Corrected Internal_Parking B123'!AX12</f>
        <v>0</v>
      </c>
      <c r="AB7" s="861">
        <f>N7-'Corrected Internal_Parking B123'!AZ12</f>
        <v>0</v>
      </c>
      <c r="AC7" s="861">
        <f>Q7-'Corrected Internal_Parking B123'!BC12</f>
        <v>0</v>
      </c>
    </row>
    <row r="8" spans="1:29" s="158" customFormat="1" hidden="1" x14ac:dyDescent="0.3">
      <c r="A8" s="863" t="str">
        <f t="shared" ref="A8:A71" si="0">E8</f>
        <v>GF-B1-2</v>
      </c>
      <c r="B8" s="864" t="str">
        <f>'Corrected Internal_Parking B123'!CA13</f>
        <v>SOLD</v>
      </c>
      <c r="C8" s="822" t="str">
        <f>'Corrected Internal_Parking B123'!C13</f>
        <v>Building 1</v>
      </c>
      <c r="D8" s="852" t="str">
        <f>'Corrected Internal_Parking B123'!E13</f>
        <v>Ground Floor</v>
      </c>
      <c r="E8" s="853" t="str">
        <f>'Corrected Internal_Parking B123'!F13</f>
        <v>GF-B1-2</v>
      </c>
      <c r="F8" s="854" t="str">
        <f>'Corrected Internal_Parking B123'!G13</f>
        <v>Single Slot</v>
      </c>
      <c r="G8" s="855">
        <f>'Corrected Internal_Parking B123'!H13</f>
        <v>13.5</v>
      </c>
      <c r="H8" s="856">
        <f>'Corrected Internal_Parking B123'!AT13</f>
        <v>852770.53125</v>
      </c>
      <c r="I8" s="857">
        <f>'Corrected Internal_Parking B123'!AV13</f>
        <v>85277.053125000006</v>
      </c>
      <c r="J8" s="858">
        <f>'Corrected Internal_Parking B123'!AU13</f>
        <v>102332.46375</v>
      </c>
      <c r="K8" s="855">
        <f>'Corrected Internal_Parking B123'!AW13</f>
        <v>1040380.048125</v>
      </c>
      <c r="L8" s="859">
        <f>'Corrected Internal_Parking B123'!AX13</f>
        <v>0.15</v>
      </c>
      <c r="M8" s="856">
        <f>'Corrected Internal_Parking B123'!AY13</f>
        <v>156057.00721874999</v>
      </c>
      <c r="N8" s="856">
        <f>'Corrected Internal_Parking B123'!AZ13</f>
        <v>10000</v>
      </c>
      <c r="O8" s="856">
        <f>'Corrected Internal_Parking B123'!BA13</f>
        <v>146057.00721874999</v>
      </c>
      <c r="P8" s="860">
        <f>'Corrected Internal_Parking B123'!BB13</f>
        <v>1</v>
      </c>
      <c r="Q8" s="856">
        <f>'Corrected Internal_Parking B123'!BC13</f>
        <v>146057.00721874999</v>
      </c>
      <c r="R8" s="856">
        <f>'Corrected Internal_Parking B123'!BE13</f>
        <v>884323.04090625001</v>
      </c>
      <c r="S8" s="856">
        <f>'Corrected Internal_Parking B123'!BF13</f>
        <v>7948.5454973272472</v>
      </c>
      <c r="T8" s="856">
        <f>'Corrected Internal_Parking B123'!BG13</f>
        <v>10267.740341761377</v>
      </c>
      <c r="U8" s="856">
        <f>'Corrected Internal_Parking B123'!BH13</f>
        <v>17510.656106790302</v>
      </c>
      <c r="V8" s="710"/>
      <c r="W8" s="861">
        <f>H8-'Corrected Internal_Parking B123'!AT13</f>
        <v>0</v>
      </c>
      <c r="X8" s="861">
        <f>J8-'Corrected Internal_Parking B123'!AU13</f>
        <v>0</v>
      </c>
      <c r="Y8" s="861">
        <f>I8-'Corrected Internal_Parking B123'!AV13</f>
        <v>0</v>
      </c>
      <c r="Z8" s="861">
        <f>K8-'Corrected Internal_Parking B123'!AW13</f>
        <v>0</v>
      </c>
      <c r="AA8" s="862">
        <f>L8-'Corrected Internal_Parking B123'!AX13</f>
        <v>0</v>
      </c>
      <c r="AB8" s="861">
        <f>N8-'Corrected Internal_Parking B123'!AZ13</f>
        <v>0</v>
      </c>
      <c r="AC8" s="861">
        <f>Q8-'Corrected Internal_Parking B123'!BC13</f>
        <v>0</v>
      </c>
    </row>
    <row r="9" spans="1:29" s="158" customFormat="1" hidden="1" x14ac:dyDescent="0.3">
      <c r="A9" s="863" t="str">
        <f t="shared" si="0"/>
        <v>GF-B1-3</v>
      </c>
      <c r="B9" s="864" t="str">
        <f>'Corrected Internal_Parking B123'!CA14</f>
        <v>SOLD</v>
      </c>
      <c r="C9" s="822" t="str">
        <f>'Corrected Internal_Parking B123'!C14</f>
        <v>Building 1</v>
      </c>
      <c r="D9" s="852" t="str">
        <f>'Corrected Internal_Parking B123'!E14</f>
        <v>Ground Floor</v>
      </c>
      <c r="E9" s="853" t="str">
        <f>'Corrected Internal_Parking B123'!F14</f>
        <v>GF-B1-3</v>
      </c>
      <c r="F9" s="854" t="str">
        <f>'Corrected Internal_Parking B123'!G14</f>
        <v>Single Slot</v>
      </c>
      <c r="G9" s="855">
        <f>'Corrected Internal_Parking B123'!H14</f>
        <v>13.5</v>
      </c>
      <c r="H9" s="856">
        <f>'Corrected Internal_Parking B123'!AT14</f>
        <v>852770.53125</v>
      </c>
      <c r="I9" s="857">
        <f>'Corrected Internal_Parking B123'!AV14</f>
        <v>85277.053125000006</v>
      </c>
      <c r="J9" s="858">
        <f>'Corrected Internal_Parking B123'!AU14</f>
        <v>102332.46375</v>
      </c>
      <c r="K9" s="855">
        <f>'Corrected Internal_Parking B123'!AW14</f>
        <v>1040380.048125</v>
      </c>
      <c r="L9" s="859">
        <f>'Corrected Internal_Parking B123'!AX14</f>
        <v>0.15</v>
      </c>
      <c r="M9" s="856">
        <f>'Corrected Internal_Parking B123'!AY14</f>
        <v>156057.00721874999</v>
      </c>
      <c r="N9" s="856">
        <f>'Corrected Internal_Parking B123'!AZ14</f>
        <v>10000</v>
      </c>
      <c r="O9" s="856">
        <f>'Corrected Internal_Parking B123'!BA14</f>
        <v>146057.00721874999</v>
      </c>
      <c r="P9" s="860">
        <f>'Corrected Internal_Parking B123'!BB14</f>
        <v>1</v>
      </c>
      <c r="Q9" s="856">
        <f>'Corrected Internal_Parking B123'!BC14</f>
        <v>146057.00721874999</v>
      </c>
      <c r="R9" s="856">
        <f>'Corrected Internal_Parking B123'!BE14</f>
        <v>884323.04090625001</v>
      </c>
      <c r="S9" s="856">
        <f>'Corrected Internal_Parking B123'!BF14</f>
        <v>7948.5454973272472</v>
      </c>
      <c r="T9" s="856">
        <f>'Corrected Internal_Parking B123'!BG14</f>
        <v>10267.740341761377</v>
      </c>
      <c r="U9" s="856">
        <f>'Corrected Internal_Parking B123'!BH14</f>
        <v>17510.656106790302</v>
      </c>
      <c r="V9" s="710"/>
      <c r="W9" s="861">
        <f>H9-'Corrected Internal_Parking B123'!AT14</f>
        <v>0</v>
      </c>
      <c r="X9" s="861">
        <f>J9-'Corrected Internal_Parking B123'!AU14</f>
        <v>0</v>
      </c>
      <c r="Y9" s="861">
        <f>I9-'Corrected Internal_Parking B123'!AV14</f>
        <v>0</v>
      </c>
      <c r="Z9" s="861">
        <f>K9-'Corrected Internal_Parking B123'!AW14</f>
        <v>0</v>
      </c>
      <c r="AA9" s="862">
        <f>L9-'Corrected Internal_Parking B123'!AX14</f>
        <v>0</v>
      </c>
      <c r="AB9" s="861">
        <f>N9-'Corrected Internal_Parking B123'!AZ14</f>
        <v>0</v>
      </c>
      <c r="AC9" s="861">
        <f>Q9-'Corrected Internal_Parking B123'!BC14</f>
        <v>0</v>
      </c>
    </row>
    <row r="10" spans="1:29" s="158" customFormat="1" hidden="1" x14ac:dyDescent="0.3">
      <c r="A10" s="863" t="str">
        <f t="shared" si="0"/>
        <v>GF-B1-4</v>
      </c>
      <c r="B10" s="864" t="str">
        <f>'Corrected Internal_Parking B123'!CA15</f>
        <v>SOLD</v>
      </c>
      <c r="C10" s="822" t="str">
        <f>'Corrected Internal_Parking B123'!C15</f>
        <v>Building 1</v>
      </c>
      <c r="D10" s="852" t="str">
        <f>'Corrected Internal_Parking B123'!E15</f>
        <v>Ground Floor</v>
      </c>
      <c r="E10" s="853" t="str">
        <f>'Corrected Internal_Parking B123'!F15</f>
        <v>GF-B1-4</v>
      </c>
      <c r="F10" s="854" t="str">
        <f>'Corrected Internal_Parking B123'!G15</f>
        <v>Single Slot</v>
      </c>
      <c r="G10" s="855">
        <f>'Corrected Internal_Parking B123'!H15</f>
        <v>13.5</v>
      </c>
      <c r="H10" s="856">
        <f>'Corrected Internal_Parking B123'!AT15</f>
        <v>852770.53125</v>
      </c>
      <c r="I10" s="857">
        <f>'Corrected Internal_Parking B123'!AV15</f>
        <v>85277.053125000006</v>
      </c>
      <c r="J10" s="858">
        <f>'Corrected Internal_Parking B123'!AU15</f>
        <v>102332.46375</v>
      </c>
      <c r="K10" s="855">
        <f>'Corrected Internal_Parking B123'!AW15</f>
        <v>1040380.048125</v>
      </c>
      <c r="L10" s="859">
        <f>'Corrected Internal_Parking B123'!AX15</f>
        <v>0.15</v>
      </c>
      <c r="M10" s="856">
        <f>'Corrected Internal_Parking B123'!AY15</f>
        <v>156057.00721874999</v>
      </c>
      <c r="N10" s="856">
        <f>'Corrected Internal_Parking B123'!AZ15</f>
        <v>10000</v>
      </c>
      <c r="O10" s="856">
        <f>'Corrected Internal_Parking B123'!BA15</f>
        <v>146057.00721874999</v>
      </c>
      <c r="P10" s="860">
        <f>'Corrected Internal_Parking B123'!BB15</f>
        <v>1</v>
      </c>
      <c r="Q10" s="856">
        <f>'Corrected Internal_Parking B123'!BC15</f>
        <v>146057.00721874999</v>
      </c>
      <c r="R10" s="856">
        <f>'Corrected Internal_Parking B123'!BE15</f>
        <v>884323.04090625001</v>
      </c>
      <c r="S10" s="856">
        <f>'Corrected Internal_Parking B123'!BF15</f>
        <v>7948.5454973272472</v>
      </c>
      <c r="T10" s="856">
        <f>'Corrected Internal_Parking B123'!BG15</f>
        <v>10267.740341761377</v>
      </c>
      <c r="U10" s="856">
        <f>'Corrected Internal_Parking B123'!BH15</f>
        <v>17510.656106790302</v>
      </c>
      <c r="V10" s="710"/>
      <c r="W10" s="861">
        <f>H10-'Corrected Internal_Parking B123'!AT15</f>
        <v>0</v>
      </c>
      <c r="X10" s="861">
        <f>J10-'Corrected Internal_Parking B123'!AU15</f>
        <v>0</v>
      </c>
      <c r="Y10" s="861">
        <f>I10-'Corrected Internal_Parking B123'!AV15</f>
        <v>0</v>
      </c>
      <c r="Z10" s="861">
        <f>K10-'Corrected Internal_Parking B123'!AW15</f>
        <v>0</v>
      </c>
      <c r="AA10" s="862">
        <f>L10-'Corrected Internal_Parking B123'!AX15</f>
        <v>0</v>
      </c>
      <c r="AB10" s="861">
        <f>N10-'Corrected Internal_Parking B123'!AZ15</f>
        <v>0</v>
      </c>
      <c r="AC10" s="861">
        <f>Q10-'Corrected Internal_Parking B123'!BC15</f>
        <v>0</v>
      </c>
    </row>
    <row r="11" spans="1:29" s="158" customFormat="1" ht="12" hidden="1" customHeight="1" x14ac:dyDescent="0.3">
      <c r="A11" s="863" t="str">
        <f t="shared" si="0"/>
        <v>GF-B1-5</v>
      </c>
      <c r="B11" s="864" t="str">
        <f>'Corrected Internal_Parking B123'!CA16</f>
        <v>SOLD</v>
      </c>
      <c r="C11" s="822" t="str">
        <f>'Corrected Internal_Parking B123'!C16</f>
        <v>Building 1</v>
      </c>
      <c r="D11" s="852" t="str">
        <f>'Corrected Internal_Parking B123'!E16</f>
        <v>Ground Floor</v>
      </c>
      <c r="E11" s="853" t="str">
        <f>'Corrected Internal_Parking B123'!F16</f>
        <v>GF-B1-5</v>
      </c>
      <c r="F11" s="854" t="str">
        <f>'Corrected Internal_Parking B123'!G16</f>
        <v>Single Slot</v>
      </c>
      <c r="G11" s="855">
        <f>'Corrected Internal_Parking B123'!H16</f>
        <v>13.5</v>
      </c>
      <c r="H11" s="856">
        <f>'Corrected Internal_Parking B123'!AT16</f>
        <v>852770.53125</v>
      </c>
      <c r="I11" s="857">
        <f>'Corrected Internal_Parking B123'!AV16</f>
        <v>85277.053125000006</v>
      </c>
      <c r="J11" s="858">
        <f>'Corrected Internal_Parking B123'!AU16</f>
        <v>102332.46375</v>
      </c>
      <c r="K11" s="855">
        <f>'Corrected Internal_Parking B123'!AW16</f>
        <v>1040380.048125</v>
      </c>
      <c r="L11" s="859">
        <f>'Corrected Internal_Parking B123'!AX16</f>
        <v>0.15</v>
      </c>
      <c r="M11" s="856">
        <f>'Corrected Internal_Parking B123'!AY16</f>
        <v>156057.00721874999</v>
      </c>
      <c r="N11" s="856">
        <f>'Corrected Internal_Parking B123'!AZ16</f>
        <v>10000</v>
      </c>
      <c r="O11" s="856">
        <f>'Corrected Internal_Parking B123'!BA16</f>
        <v>146057.00721874999</v>
      </c>
      <c r="P11" s="860">
        <f>'Corrected Internal_Parking B123'!BB16</f>
        <v>1</v>
      </c>
      <c r="Q11" s="856">
        <f>'Corrected Internal_Parking B123'!BC16</f>
        <v>146057.00721874999</v>
      </c>
      <c r="R11" s="856">
        <f>'Corrected Internal_Parking B123'!BE16</f>
        <v>884323.04090625001</v>
      </c>
      <c r="S11" s="856">
        <f>'Corrected Internal_Parking B123'!BF16</f>
        <v>7948.5454973272472</v>
      </c>
      <c r="T11" s="856">
        <f>'Corrected Internal_Parking B123'!BG16</f>
        <v>10267.740341761377</v>
      </c>
      <c r="U11" s="856">
        <f>'Corrected Internal_Parking B123'!BH16</f>
        <v>17510.656106790302</v>
      </c>
      <c r="V11" s="710"/>
      <c r="W11" s="861">
        <f>H11-'Corrected Internal_Parking B123'!AT16</f>
        <v>0</v>
      </c>
      <c r="X11" s="861">
        <f>J11-'Corrected Internal_Parking B123'!AU16</f>
        <v>0</v>
      </c>
      <c r="Y11" s="861">
        <f>I11-'Corrected Internal_Parking B123'!AV16</f>
        <v>0</v>
      </c>
      <c r="Z11" s="861">
        <f>K11-'Corrected Internal_Parking B123'!AW16</f>
        <v>0</v>
      </c>
      <c r="AA11" s="862">
        <f>L11-'Corrected Internal_Parking B123'!AX16</f>
        <v>0</v>
      </c>
      <c r="AB11" s="861">
        <f>N11-'Corrected Internal_Parking B123'!AZ16</f>
        <v>0</v>
      </c>
      <c r="AC11" s="861">
        <f>Q11-'Corrected Internal_Parking B123'!BC16</f>
        <v>0</v>
      </c>
    </row>
    <row r="12" spans="1:29" s="158" customFormat="1" hidden="1" x14ac:dyDescent="0.3">
      <c r="A12" s="863" t="str">
        <f t="shared" si="0"/>
        <v>GF-B1-6</v>
      </c>
      <c r="B12" s="864" t="str">
        <f>'Corrected Internal_Parking B123'!CA17</f>
        <v>SOLD</v>
      </c>
      <c r="C12" s="822" t="str">
        <f>'Corrected Internal_Parking B123'!C17</f>
        <v>Building 1</v>
      </c>
      <c r="D12" s="852" t="str">
        <f>'Corrected Internal_Parking B123'!E17</f>
        <v>Ground Floor</v>
      </c>
      <c r="E12" s="853" t="str">
        <f>'Corrected Internal_Parking B123'!F17</f>
        <v>GF-B1-6</v>
      </c>
      <c r="F12" s="854" t="str">
        <f>'Corrected Internal_Parking B123'!G17</f>
        <v>Single Slot</v>
      </c>
      <c r="G12" s="855">
        <f>'Corrected Internal_Parking B123'!H17</f>
        <v>13.5</v>
      </c>
      <c r="H12" s="856">
        <f>'Corrected Internal_Parking B123'!AT17</f>
        <v>832787.56226250005</v>
      </c>
      <c r="I12" s="857">
        <f>'Corrected Internal_Parking B123'!AV17</f>
        <v>83278.756226250014</v>
      </c>
      <c r="J12" s="858">
        <f>'Corrected Internal_Parking B123'!AU17</f>
        <v>99934.507471500008</v>
      </c>
      <c r="K12" s="855">
        <f>'Corrected Internal_Parking B123'!AW17</f>
        <v>1016000.82596025</v>
      </c>
      <c r="L12" s="859">
        <f>'Corrected Internal_Parking B123'!AX17</f>
        <v>0.15</v>
      </c>
      <c r="M12" s="856">
        <f>'Corrected Internal_Parking B123'!AY17</f>
        <v>152400.1238940375</v>
      </c>
      <c r="N12" s="856">
        <f>'Corrected Internal_Parking B123'!AZ17</f>
        <v>10000</v>
      </c>
      <c r="O12" s="856">
        <f>'Corrected Internal_Parking B123'!BA17</f>
        <v>142400.1238940375</v>
      </c>
      <c r="P12" s="860">
        <f>'Corrected Internal_Parking B123'!BB17</f>
        <v>1</v>
      </c>
      <c r="Q12" s="856">
        <f>'Corrected Internal_Parking B123'!BC17</f>
        <v>142400.1238940375</v>
      </c>
      <c r="R12" s="856">
        <f>'Corrected Internal_Parking B123'!BE17</f>
        <v>863600.70206621243</v>
      </c>
      <c r="S12" s="856">
        <f>'Corrected Internal_Parking B123'!BF17</f>
        <v>7762.2872574511575</v>
      </c>
      <c r="T12" s="856">
        <f>'Corrected Internal_Parking B123'!BG17</f>
        <v>10027.136416904397</v>
      </c>
      <c r="U12" s="856">
        <f>'Corrected Internal_Parking B123'!BH17</f>
        <v>17100.32896119832</v>
      </c>
      <c r="V12" s="710"/>
      <c r="W12" s="861">
        <f>H12-'Corrected Internal_Parking B123'!AT17</f>
        <v>0</v>
      </c>
      <c r="X12" s="861">
        <f>J12-'Corrected Internal_Parking B123'!AU17</f>
        <v>0</v>
      </c>
      <c r="Y12" s="861">
        <f>I12-'Corrected Internal_Parking B123'!AV17</f>
        <v>0</v>
      </c>
      <c r="Z12" s="861">
        <f>K12-'Corrected Internal_Parking B123'!AW17</f>
        <v>0</v>
      </c>
      <c r="AA12" s="862">
        <f>L12-'Corrected Internal_Parking B123'!AX17</f>
        <v>0</v>
      </c>
      <c r="AB12" s="861">
        <f>N12-'Corrected Internal_Parking B123'!AZ17</f>
        <v>0</v>
      </c>
      <c r="AC12" s="861">
        <f>Q12-'Corrected Internal_Parking B123'!BC17</f>
        <v>0</v>
      </c>
    </row>
    <row r="13" spans="1:29" s="158" customFormat="1" ht="12" hidden="1" customHeight="1" x14ac:dyDescent="0.3">
      <c r="A13" s="863" t="str">
        <f t="shared" si="0"/>
        <v>GF-B1-7</v>
      </c>
      <c r="B13" s="864" t="str">
        <f>'Corrected Internal_Parking B123'!CA18</f>
        <v>SOLD</v>
      </c>
      <c r="C13" s="822" t="str">
        <f>'Corrected Internal_Parking B123'!C18</f>
        <v>Building 1</v>
      </c>
      <c r="D13" s="852" t="str">
        <f>'Corrected Internal_Parking B123'!E18</f>
        <v>Ground Floor</v>
      </c>
      <c r="E13" s="853" t="str">
        <f>'Corrected Internal_Parking B123'!F18</f>
        <v>GF-B1-7</v>
      </c>
      <c r="F13" s="854" t="str">
        <f>'Corrected Internal_Parking B123'!G18</f>
        <v>Single Slot</v>
      </c>
      <c r="G13" s="855">
        <f>'Corrected Internal_Parking B123'!H18</f>
        <v>13.5</v>
      </c>
      <c r="H13" s="856">
        <f>'Corrected Internal_Parking B123'!AT18</f>
        <v>831235.921875</v>
      </c>
      <c r="I13" s="857">
        <f>'Corrected Internal_Parking B123'!AV18</f>
        <v>83123.592187500006</v>
      </c>
      <c r="J13" s="858">
        <f>'Corrected Internal_Parking B123'!AU18</f>
        <v>99748.310624999998</v>
      </c>
      <c r="K13" s="855">
        <f>'Corrected Internal_Parking B123'!AW18</f>
        <v>1014107.8246875</v>
      </c>
      <c r="L13" s="859">
        <f>'Corrected Internal_Parking B123'!AX18</f>
        <v>0.15</v>
      </c>
      <c r="M13" s="856">
        <f>'Corrected Internal_Parking B123'!AY18</f>
        <v>152116.17370312501</v>
      </c>
      <c r="N13" s="856">
        <f>'Corrected Internal_Parking B123'!AZ18</f>
        <v>10000</v>
      </c>
      <c r="O13" s="856">
        <f>'Corrected Internal_Parking B123'!BA18</f>
        <v>142116.17370312501</v>
      </c>
      <c r="P13" s="860">
        <f>'Corrected Internal_Parking B123'!BB18</f>
        <v>1</v>
      </c>
      <c r="Q13" s="856">
        <f>'Corrected Internal_Parking B123'!BC18</f>
        <v>142116.17370312501</v>
      </c>
      <c r="R13" s="856">
        <f>'Corrected Internal_Parking B123'!BE18</f>
        <v>861991.65098437504</v>
      </c>
      <c r="S13" s="856">
        <f>'Corrected Internal_Parking B123'!BF18</f>
        <v>7747.8246514351467</v>
      </c>
      <c r="T13" s="856">
        <f>'Corrected Internal_Parking B123'!BG18</f>
        <v>10008.453969494676</v>
      </c>
      <c r="U13" s="856">
        <f>'Corrected Internal_Parking B123'!BH18</f>
        <v>17068.467821265294</v>
      </c>
      <c r="V13" s="710"/>
      <c r="W13" s="861">
        <f>H13-'Corrected Internal_Parking B123'!AT18</f>
        <v>0</v>
      </c>
      <c r="X13" s="861">
        <f>J13-'Corrected Internal_Parking B123'!AU18</f>
        <v>0</v>
      </c>
      <c r="Y13" s="861">
        <f>I13-'Corrected Internal_Parking B123'!AV18</f>
        <v>0</v>
      </c>
      <c r="Z13" s="861">
        <f>K13-'Corrected Internal_Parking B123'!AW18</f>
        <v>0</v>
      </c>
      <c r="AA13" s="862">
        <f>L13-'Corrected Internal_Parking B123'!AX18</f>
        <v>0</v>
      </c>
      <c r="AB13" s="861">
        <f>N13-'Corrected Internal_Parking B123'!AZ18</f>
        <v>0</v>
      </c>
      <c r="AC13" s="861">
        <f>Q13-'Corrected Internal_Parking B123'!BC18</f>
        <v>0</v>
      </c>
    </row>
    <row r="14" spans="1:29" s="158" customFormat="1" ht="12.75" hidden="1" customHeight="1" x14ac:dyDescent="0.3">
      <c r="A14" s="863" t="str">
        <f t="shared" si="0"/>
        <v>GF-B1-8</v>
      </c>
      <c r="B14" s="864" t="str">
        <f>'Corrected Internal_Parking B123'!CA19</f>
        <v>SOLD</v>
      </c>
      <c r="C14" s="822" t="str">
        <f>'Corrected Internal_Parking B123'!C19</f>
        <v>Building 1</v>
      </c>
      <c r="D14" s="852" t="str">
        <f>'Corrected Internal_Parking B123'!E19</f>
        <v>Ground Floor</v>
      </c>
      <c r="E14" s="853" t="str">
        <f>'Corrected Internal_Parking B123'!F19</f>
        <v>GF-B1-8</v>
      </c>
      <c r="F14" s="854" t="str">
        <f>'Corrected Internal_Parking B123'!G19</f>
        <v>Single Slot</v>
      </c>
      <c r="G14" s="855">
        <f>'Corrected Internal_Parking B123'!H19</f>
        <v>13.5</v>
      </c>
      <c r="H14" s="856">
        <f>'Corrected Internal_Parking B123'!AT19</f>
        <v>831235.921875</v>
      </c>
      <c r="I14" s="857">
        <f>'Corrected Internal_Parking B123'!AV19</f>
        <v>83123.592187500006</v>
      </c>
      <c r="J14" s="858">
        <f>'Corrected Internal_Parking B123'!AU19</f>
        <v>99748.310624999998</v>
      </c>
      <c r="K14" s="855">
        <f>'Corrected Internal_Parking B123'!AW19</f>
        <v>1014107.8246875</v>
      </c>
      <c r="L14" s="859">
        <f>'Corrected Internal_Parking B123'!AX19</f>
        <v>0.15</v>
      </c>
      <c r="M14" s="856">
        <f>'Corrected Internal_Parking B123'!AY19</f>
        <v>152116.17370312501</v>
      </c>
      <c r="N14" s="856">
        <f>'Corrected Internal_Parking B123'!AZ19</f>
        <v>10000</v>
      </c>
      <c r="O14" s="856">
        <f>'Corrected Internal_Parking B123'!BA19</f>
        <v>142116.17370312501</v>
      </c>
      <c r="P14" s="860">
        <f>'Corrected Internal_Parking B123'!BB19</f>
        <v>1</v>
      </c>
      <c r="Q14" s="856">
        <f>'Corrected Internal_Parking B123'!BC19</f>
        <v>142116.17370312501</v>
      </c>
      <c r="R14" s="856">
        <f>'Corrected Internal_Parking B123'!BE19</f>
        <v>861991.65098437504</v>
      </c>
      <c r="S14" s="856">
        <f>'Corrected Internal_Parking B123'!BF19</f>
        <v>7747.8246514351467</v>
      </c>
      <c r="T14" s="856">
        <f>'Corrected Internal_Parking B123'!BG19</f>
        <v>10008.453969494676</v>
      </c>
      <c r="U14" s="856">
        <f>'Corrected Internal_Parking B123'!BH19</f>
        <v>17068.467821265294</v>
      </c>
      <c r="V14" s="710"/>
      <c r="W14" s="861">
        <f>H14-'Corrected Internal_Parking B123'!AT19</f>
        <v>0</v>
      </c>
      <c r="X14" s="861">
        <f>J14-'Corrected Internal_Parking B123'!AU19</f>
        <v>0</v>
      </c>
      <c r="Y14" s="861">
        <f>I14-'Corrected Internal_Parking B123'!AV19</f>
        <v>0</v>
      </c>
      <c r="Z14" s="861">
        <f>K14-'Corrected Internal_Parking B123'!AW19</f>
        <v>0</v>
      </c>
      <c r="AA14" s="862">
        <f>L14-'Corrected Internal_Parking B123'!AX19</f>
        <v>0</v>
      </c>
      <c r="AB14" s="861">
        <f>N14-'Corrected Internal_Parking B123'!AZ19</f>
        <v>0</v>
      </c>
      <c r="AC14" s="861">
        <f>Q14-'Corrected Internal_Parking B123'!BC19</f>
        <v>0</v>
      </c>
    </row>
    <row r="15" spans="1:29" s="158" customFormat="1" ht="12.75" hidden="1" customHeight="1" x14ac:dyDescent="0.3">
      <c r="A15" s="863" t="str">
        <f t="shared" si="0"/>
        <v>GF-B1-9</v>
      </c>
      <c r="B15" s="864" t="str">
        <f>'Corrected Internal_Parking B123'!CA20</f>
        <v>SOLD</v>
      </c>
      <c r="C15" s="822" t="str">
        <f>'Corrected Internal_Parking B123'!C20</f>
        <v>Building 1</v>
      </c>
      <c r="D15" s="852" t="str">
        <f>'Corrected Internal_Parking B123'!E20</f>
        <v>Ground Floor</v>
      </c>
      <c r="E15" s="853" t="str">
        <f>'Corrected Internal_Parking B123'!F20</f>
        <v>GF-B1-9</v>
      </c>
      <c r="F15" s="854" t="str">
        <f>'Corrected Internal_Parking B123'!G20</f>
        <v>Single Slot</v>
      </c>
      <c r="G15" s="855">
        <f>'Corrected Internal_Parking B123'!H20</f>
        <v>13.5</v>
      </c>
      <c r="H15" s="856">
        <f>'Corrected Internal_Parking B123'!AT20</f>
        <v>831235.921875</v>
      </c>
      <c r="I15" s="857">
        <f>'Corrected Internal_Parking B123'!AV20</f>
        <v>83123.592187500006</v>
      </c>
      <c r="J15" s="858">
        <f>'Corrected Internal_Parking B123'!AU20</f>
        <v>99748.310624999998</v>
      </c>
      <c r="K15" s="855">
        <f>'Corrected Internal_Parking B123'!AW20</f>
        <v>1014107.8246875</v>
      </c>
      <c r="L15" s="859">
        <f>'Corrected Internal_Parking B123'!AX20</f>
        <v>0.15</v>
      </c>
      <c r="M15" s="856">
        <f>'Corrected Internal_Parking B123'!AY20</f>
        <v>152116.17370312501</v>
      </c>
      <c r="N15" s="856">
        <f>'Corrected Internal_Parking B123'!AZ20</f>
        <v>10000</v>
      </c>
      <c r="O15" s="856">
        <f>'Corrected Internal_Parking B123'!BA20</f>
        <v>142116.17370312501</v>
      </c>
      <c r="P15" s="860">
        <f>'Corrected Internal_Parking B123'!BB20</f>
        <v>1</v>
      </c>
      <c r="Q15" s="856">
        <f>'Corrected Internal_Parking B123'!BC20</f>
        <v>142116.17370312501</v>
      </c>
      <c r="R15" s="856">
        <f>'Corrected Internal_Parking B123'!BE20</f>
        <v>861991.65098437504</v>
      </c>
      <c r="S15" s="856">
        <f>'Corrected Internal_Parking B123'!BF20</f>
        <v>7747.8246514351467</v>
      </c>
      <c r="T15" s="856">
        <f>'Corrected Internal_Parking B123'!BG20</f>
        <v>10008.453969494676</v>
      </c>
      <c r="U15" s="856">
        <f>'Corrected Internal_Parking B123'!BH20</f>
        <v>17068.467821265294</v>
      </c>
      <c r="V15" s="710"/>
      <c r="W15" s="861">
        <f>H15-'Corrected Internal_Parking B123'!AT20</f>
        <v>0</v>
      </c>
      <c r="X15" s="861">
        <f>J15-'Corrected Internal_Parking B123'!AU20</f>
        <v>0</v>
      </c>
      <c r="Y15" s="861">
        <f>I15-'Corrected Internal_Parking B123'!AV20</f>
        <v>0</v>
      </c>
      <c r="Z15" s="861">
        <f>K15-'Corrected Internal_Parking B123'!AW20</f>
        <v>0</v>
      </c>
      <c r="AA15" s="862">
        <f>L15-'Corrected Internal_Parking B123'!AX20</f>
        <v>0</v>
      </c>
      <c r="AB15" s="861">
        <f>N15-'Corrected Internal_Parking B123'!AZ20</f>
        <v>0</v>
      </c>
      <c r="AC15" s="861">
        <f>Q15-'Corrected Internal_Parking B123'!BC20</f>
        <v>0</v>
      </c>
    </row>
    <row r="16" spans="1:29" s="158" customFormat="1" ht="12.75" hidden="1" customHeight="1" x14ac:dyDescent="0.3">
      <c r="A16" s="863" t="str">
        <f t="shared" si="0"/>
        <v>GF-B1-10</v>
      </c>
      <c r="B16" s="864" t="str">
        <f>'Corrected Internal_Parking B123'!CA21</f>
        <v>SOLD</v>
      </c>
      <c r="C16" s="822" t="str">
        <f>'Corrected Internal_Parking B123'!C21</f>
        <v>Building 1</v>
      </c>
      <c r="D16" s="852" t="str">
        <f>'Corrected Internal_Parking B123'!E21</f>
        <v>Ground Floor</v>
      </c>
      <c r="E16" s="853" t="str">
        <f>'Corrected Internal_Parking B123'!F21</f>
        <v>GF-B1-10</v>
      </c>
      <c r="F16" s="854" t="str">
        <f>'Corrected Internal_Parking B123'!G21</f>
        <v>Single Slot</v>
      </c>
      <c r="G16" s="855">
        <f>'Corrected Internal_Parking B123'!H21</f>
        <v>13.5</v>
      </c>
      <c r="H16" s="856">
        <f>'Corrected Internal_Parking B123'!AT21</f>
        <v>831235.921875</v>
      </c>
      <c r="I16" s="857">
        <f>'Corrected Internal_Parking B123'!AV21</f>
        <v>83123.592187500006</v>
      </c>
      <c r="J16" s="858">
        <f>'Corrected Internal_Parking B123'!AU21</f>
        <v>99748.310624999998</v>
      </c>
      <c r="K16" s="855">
        <f>'Corrected Internal_Parking B123'!AW21</f>
        <v>1014107.8246875</v>
      </c>
      <c r="L16" s="859">
        <f>'Corrected Internal_Parking B123'!AX21</f>
        <v>0.15</v>
      </c>
      <c r="M16" s="856">
        <f>'Corrected Internal_Parking B123'!AY21</f>
        <v>152116.17370312501</v>
      </c>
      <c r="N16" s="856">
        <f>'Corrected Internal_Parking B123'!AZ21</f>
        <v>10000</v>
      </c>
      <c r="O16" s="856">
        <f>'Corrected Internal_Parking B123'!BA21</f>
        <v>142116.17370312501</v>
      </c>
      <c r="P16" s="860">
        <f>'Corrected Internal_Parking B123'!BB21</f>
        <v>1</v>
      </c>
      <c r="Q16" s="856">
        <f>'Corrected Internal_Parking B123'!BC21</f>
        <v>142116.17370312501</v>
      </c>
      <c r="R16" s="856">
        <f>'Corrected Internal_Parking B123'!BE21</f>
        <v>861991.65098437504</v>
      </c>
      <c r="S16" s="856">
        <f>'Corrected Internal_Parking B123'!BF21</f>
        <v>7747.8246514351467</v>
      </c>
      <c r="T16" s="856">
        <f>'Corrected Internal_Parking B123'!BG21</f>
        <v>10008.453969494676</v>
      </c>
      <c r="U16" s="856">
        <f>'Corrected Internal_Parking B123'!BH21</f>
        <v>17068.467821265294</v>
      </c>
      <c r="V16" s="710"/>
      <c r="W16" s="861">
        <f>H16-'Corrected Internal_Parking B123'!AT21</f>
        <v>0</v>
      </c>
      <c r="X16" s="861">
        <f>J16-'Corrected Internal_Parking B123'!AU21</f>
        <v>0</v>
      </c>
      <c r="Y16" s="861">
        <f>I16-'Corrected Internal_Parking B123'!AV21</f>
        <v>0</v>
      </c>
      <c r="Z16" s="861">
        <f>K16-'Corrected Internal_Parking B123'!AW21</f>
        <v>0</v>
      </c>
      <c r="AA16" s="862">
        <f>L16-'Corrected Internal_Parking B123'!AX21</f>
        <v>0</v>
      </c>
      <c r="AB16" s="861">
        <f>N16-'Corrected Internal_Parking B123'!AZ21</f>
        <v>0</v>
      </c>
      <c r="AC16" s="861">
        <f>Q16-'Corrected Internal_Parking B123'!BC21</f>
        <v>0</v>
      </c>
    </row>
    <row r="17" spans="1:29" s="158" customFormat="1" ht="12.75" hidden="1" customHeight="1" x14ac:dyDescent="0.3">
      <c r="A17" s="863" t="str">
        <f t="shared" si="0"/>
        <v>GF-B1-11</v>
      </c>
      <c r="B17" s="864" t="str">
        <f>'Corrected Internal_Parking B123'!CA22</f>
        <v>SOLD</v>
      </c>
      <c r="C17" s="822" t="str">
        <f>'Corrected Internal_Parking B123'!C22</f>
        <v>Building 1</v>
      </c>
      <c r="D17" s="852" t="str">
        <f>'Corrected Internal_Parking B123'!E22</f>
        <v>Ground Floor</v>
      </c>
      <c r="E17" s="853" t="str">
        <f>'Corrected Internal_Parking B123'!F22</f>
        <v>GF-B1-11</v>
      </c>
      <c r="F17" s="854" t="str">
        <f>'Corrected Internal_Parking B123'!G22</f>
        <v>Single Slot</v>
      </c>
      <c r="G17" s="855">
        <f>'Corrected Internal_Parking B123'!H22</f>
        <v>13.5</v>
      </c>
      <c r="H17" s="856">
        <f>'Corrected Internal_Parking B123'!AT22</f>
        <v>831235.921875</v>
      </c>
      <c r="I17" s="857">
        <f>'Corrected Internal_Parking B123'!AV22</f>
        <v>83123.592187500006</v>
      </c>
      <c r="J17" s="858">
        <f>'Corrected Internal_Parking B123'!AU22</f>
        <v>99748.310624999998</v>
      </c>
      <c r="K17" s="855">
        <f>'Corrected Internal_Parking B123'!AW22</f>
        <v>1014107.8246875</v>
      </c>
      <c r="L17" s="859">
        <f>'Corrected Internal_Parking B123'!AX22</f>
        <v>0.15</v>
      </c>
      <c r="M17" s="856">
        <f>'Corrected Internal_Parking B123'!AY22</f>
        <v>152116.17370312501</v>
      </c>
      <c r="N17" s="856">
        <f>'Corrected Internal_Parking B123'!AZ22</f>
        <v>10000</v>
      </c>
      <c r="O17" s="856">
        <f>'Corrected Internal_Parking B123'!BA22</f>
        <v>142116.17370312501</v>
      </c>
      <c r="P17" s="860">
        <f>'Corrected Internal_Parking B123'!BB22</f>
        <v>1</v>
      </c>
      <c r="Q17" s="856">
        <f>'Corrected Internal_Parking B123'!BC22</f>
        <v>142116.17370312501</v>
      </c>
      <c r="R17" s="856">
        <f>'Corrected Internal_Parking B123'!BE22</f>
        <v>861991.65098437504</v>
      </c>
      <c r="S17" s="856">
        <f>'Corrected Internal_Parking B123'!BF22</f>
        <v>7747.8246514351467</v>
      </c>
      <c r="T17" s="856">
        <f>'Corrected Internal_Parking B123'!BG22</f>
        <v>10008.453969494676</v>
      </c>
      <c r="U17" s="856">
        <f>'Corrected Internal_Parking B123'!BH22</f>
        <v>17068.467821265294</v>
      </c>
      <c r="V17" s="710"/>
      <c r="W17" s="861">
        <f>H17-'Corrected Internal_Parking B123'!AT22</f>
        <v>0</v>
      </c>
      <c r="X17" s="861">
        <f>J17-'Corrected Internal_Parking B123'!AU22</f>
        <v>0</v>
      </c>
      <c r="Y17" s="861">
        <f>I17-'Corrected Internal_Parking B123'!AV22</f>
        <v>0</v>
      </c>
      <c r="Z17" s="861">
        <f>K17-'Corrected Internal_Parking B123'!AW22</f>
        <v>0</v>
      </c>
      <c r="AA17" s="862">
        <f>L17-'Corrected Internal_Parking B123'!AX22</f>
        <v>0</v>
      </c>
      <c r="AB17" s="861">
        <f>N17-'Corrected Internal_Parking B123'!AZ22</f>
        <v>0</v>
      </c>
      <c r="AC17" s="861">
        <f>Q17-'Corrected Internal_Parking B123'!BC22</f>
        <v>0</v>
      </c>
    </row>
    <row r="18" spans="1:29" s="158" customFormat="1" ht="12.75" customHeight="1" x14ac:dyDescent="0.3">
      <c r="A18" s="863" t="str">
        <f t="shared" si="0"/>
        <v>GF-B1-12</v>
      </c>
      <c r="B18" s="864" t="str">
        <f>'Corrected Internal_Parking B123'!CA23</f>
        <v>UNSOLD</v>
      </c>
      <c r="C18" s="822" t="str">
        <f>'Corrected Internal_Parking B123'!C23</f>
        <v>Building 1</v>
      </c>
      <c r="D18" s="852" t="str">
        <f>'Corrected Internal_Parking B123'!E23</f>
        <v>Ground Floor</v>
      </c>
      <c r="E18" s="853" t="str">
        <f>'Corrected Internal_Parking B123'!F23</f>
        <v>GF-B1-12</v>
      </c>
      <c r="F18" s="854" t="str">
        <f>'Corrected Internal_Parking B123'!G23</f>
        <v>Single Slot</v>
      </c>
      <c r="G18" s="855">
        <f>'Corrected Internal_Parking B123'!H23</f>
        <v>13.5</v>
      </c>
      <c r="H18" s="856">
        <f>'Corrected Internal_Parking B123'!AT23</f>
        <v>832787.56226250005</v>
      </c>
      <c r="I18" s="857">
        <f>'Corrected Internal_Parking B123'!AV23</f>
        <v>83278.756226250014</v>
      </c>
      <c r="J18" s="858">
        <f>'Corrected Internal_Parking B123'!AU23</f>
        <v>99934.507471500008</v>
      </c>
      <c r="K18" s="855">
        <f>'Corrected Internal_Parking B123'!AW23</f>
        <v>1016000.82596025</v>
      </c>
      <c r="L18" s="859">
        <f>'Corrected Internal_Parking B123'!AX23</f>
        <v>0.15</v>
      </c>
      <c r="M18" s="856">
        <f>'Corrected Internal_Parking B123'!AY23</f>
        <v>152400.1238940375</v>
      </c>
      <c r="N18" s="856">
        <f>'Corrected Internal_Parking B123'!AZ23</f>
        <v>10000</v>
      </c>
      <c r="O18" s="856">
        <f>'Corrected Internal_Parking B123'!BA23</f>
        <v>142400.1238940375</v>
      </c>
      <c r="P18" s="860">
        <f>'Corrected Internal_Parking B123'!BB23</f>
        <v>1</v>
      </c>
      <c r="Q18" s="856">
        <f>'Corrected Internal_Parking B123'!BC23</f>
        <v>142400.1238940375</v>
      </c>
      <c r="R18" s="856">
        <f>'Corrected Internal_Parking B123'!BE23</f>
        <v>863600.70206621243</v>
      </c>
      <c r="S18" s="856">
        <f>'Corrected Internal_Parking B123'!BF23</f>
        <v>7762.2872574511575</v>
      </c>
      <c r="T18" s="856">
        <f>'Corrected Internal_Parking B123'!BG23</f>
        <v>10027.136416904397</v>
      </c>
      <c r="U18" s="856">
        <f>'Corrected Internal_Parking B123'!BH23</f>
        <v>17100.32896119832</v>
      </c>
      <c r="V18" s="710"/>
      <c r="W18" s="861">
        <f>H18-'Corrected Internal_Parking B123'!AT23</f>
        <v>0</v>
      </c>
      <c r="X18" s="861">
        <f>J18-'Corrected Internal_Parking B123'!AU23</f>
        <v>0</v>
      </c>
      <c r="Y18" s="861">
        <f>I18-'Corrected Internal_Parking B123'!AV23</f>
        <v>0</v>
      </c>
      <c r="Z18" s="861">
        <f>K18-'Corrected Internal_Parking B123'!AW23</f>
        <v>0</v>
      </c>
      <c r="AA18" s="862">
        <f>L18-'Corrected Internal_Parking B123'!AX23</f>
        <v>0</v>
      </c>
      <c r="AB18" s="861">
        <f>N18-'Corrected Internal_Parking B123'!AZ23</f>
        <v>0</v>
      </c>
      <c r="AC18" s="861">
        <f>Q18-'Corrected Internal_Parking B123'!BC23</f>
        <v>0</v>
      </c>
    </row>
    <row r="19" spans="1:29" s="158" customFormat="1" ht="12.75" customHeight="1" x14ac:dyDescent="0.3">
      <c r="A19" s="863" t="str">
        <f t="shared" si="0"/>
        <v>GF-B1-13</v>
      </c>
      <c r="B19" s="864" t="str">
        <f>'Corrected Internal_Parking B123'!CA24</f>
        <v>UNSOLD</v>
      </c>
      <c r="C19" s="822" t="str">
        <f>'Corrected Internal_Parking B123'!C24</f>
        <v>Building 1</v>
      </c>
      <c r="D19" s="852" t="str">
        <f>'Corrected Internal_Parking B123'!E24</f>
        <v>Ground Floor</v>
      </c>
      <c r="E19" s="853" t="str">
        <f>'Corrected Internal_Parking B123'!F24</f>
        <v>GF-B1-13</v>
      </c>
      <c r="F19" s="854" t="str">
        <f>'Corrected Internal_Parking B123'!G24</f>
        <v>Single Slot</v>
      </c>
      <c r="G19" s="855">
        <f>'Corrected Internal_Parking B123'!H24</f>
        <v>13.5</v>
      </c>
      <c r="H19" s="856">
        <f>'Corrected Internal_Parking B123'!AT24</f>
        <v>832787.56226250005</v>
      </c>
      <c r="I19" s="857">
        <f>'Corrected Internal_Parking B123'!AV24</f>
        <v>83278.756226250014</v>
      </c>
      <c r="J19" s="858">
        <f>'Corrected Internal_Parking B123'!AU24</f>
        <v>99934.507471500008</v>
      </c>
      <c r="K19" s="855">
        <f>'Corrected Internal_Parking B123'!AW24</f>
        <v>1016000.82596025</v>
      </c>
      <c r="L19" s="859">
        <f>'Corrected Internal_Parking B123'!AX24</f>
        <v>0.15</v>
      </c>
      <c r="M19" s="856">
        <f>'Corrected Internal_Parking B123'!AY24</f>
        <v>152400.1238940375</v>
      </c>
      <c r="N19" s="856">
        <f>'Corrected Internal_Parking B123'!AZ24</f>
        <v>10000</v>
      </c>
      <c r="O19" s="856">
        <f>'Corrected Internal_Parking B123'!BA24</f>
        <v>142400.1238940375</v>
      </c>
      <c r="P19" s="860">
        <f>'Corrected Internal_Parking B123'!BB24</f>
        <v>1</v>
      </c>
      <c r="Q19" s="856">
        <f>'Corrected Internal_Parking B123'!BC24</f>
        <v>142400.1238940375</v>
      </c>
      <c r="R19" s="856">
        <f>'Corrected Internal_Parking B123'!BE24</f>
        <v>863600.70206621243</v>
      </c>
      <c r="S19" s="856">
        <f>'Corrected Internal_Parking B123'!BF24</f>
        <v>7762.2872574511575</v>
      </c>
      <c r="T19" s="856">
        <f>'Corrected Internal_Parking B123'!BG24</f>
        <v>10027.136416904397</v>
      </c>
      <c r="U19" s="856">
        <f>'Corrected Internal_Parking B123'!BH24</f>
        <v>17100.32896119832</v>
      </c>
      <c r="V19" s="710"/>
      <c r="W19" s="861">
        <f>H19-'Corrected Internal_Parking B123'!AT24</f>
        <v>0</v>
      </c>
      <c r="X19" s="861">
        <f>J19-'Corrected Internal_Parking B123'!AU24</f>
        <v>0</v>
      </c>
      <c r="Y19" s="861">
        <f>I19-'Corrected Internal_Parking B123'!AV24</f>
        <v>0</v>
      </c>
      <c r="Z19" s="861">
        <f>K19-'Corrected Internal_Parking B123'!AW24</f>
        <v>0</v>
      </c>
      <c r="AA19" s="862">
        <f>L19-'Corrected Internal_Parking B123'!AX24</f>
        <v>0</v>
      </c>
      <c r="AB19" s="861">
        <f>N19-'Corrected Internal_Parking B123'!AZ24</f>
        <v>0</v>
      </c>
      <c r="AC19" s="861">
        <f>Q19-'Corrected Internal_Parking B123'!BC24</f>
        <v>0</v>
      </c>
    </row>
    <row r="20" spans="1:29" ht="12.75" customHeight="1" x14ac:dyDescent="0.3">
      <c r="A20" s="863" t="str">
        <f t="shared" si="0"/>
        <v>GF-B1-14</v>
      </c>
      <c r="B20" s="864" t="str">
        <f>'Corrected Internal_Parking B123'!CA25</f>
        <v>UNSOLD</v>
      </c>
      <c r="C20" s="822" t="str">
        <f>'Corrected Internal_Parking B123'!C25</f>
        <v>Building 1</v>
      </c>
      <c r="D20" s="852" t="str">
        <f>'Corrected Internal_Parking B123'!E25</f>
        <v>Ground Floor</v>
      </c>
      <c r="E20" s="853" t="str">
        <f>'Corrected Internal_Parking B123'!F25</f>
        <v>GF-B1-14</v>
      </c>
      <c r="F20" s="854" t="str">
        <f>'Corrected Internal_Parking B123'!G25</f>
        <v>Single Slot</v>
      </c>
      <c r="G20" s="855">
        <f>'Corrected Internal_Parking B123'!H25</f>
        <v>13.5</v>
      </c>
      <c r="H20" s="856">
        <f>'Corrected Internal_Parking B123'!AT25</f>
        <v>832787.56226250005</v>
      </c>
      <c r="I20" s="857">
        <f>'Corrected Internal_Parking B123'!AV25</f>
        <v>83278.756226250014</v>
      </c>
      <c r="J20" s="858">
        <f>'Corrected Internal_Parking B123'!AU25</f>
        <v>99934.507471500008</v>
      </c>
      <c r="K20" s="855">
        <f>'Corrected Internal_Parking B123'!AW25</f>
        <v>1016000.82596025</v>
      </c>
      <c r="L20" s="859">
        <f>'Corrected Internal_Parking B123'!AX25</f>
        <v>0.15</v>
      </c>
      <c r="M20" s="856">
        <f>'Corrected Internal_Parking B123'!AY25</f>
        <v>152400.1238940375</v>
      </c>
      <c r="N20" s="856">
        <f>'Corrected Internal_Parking B123'!AZ25</f>
        <v>10000</v>
      </c>
      <c r="O20" s="856">
        <f>'Corrected Internal_Parking B123'!BA25</f>
        <v>142400.1238940375</v>
      </c>
      <c r="P20" s="860">
        <f>'Corrected Internal_Parking B123'!BB25</f>
        <v>1</v>
      </c>
      <c r="Q20" s="856">
        <f>'Corrected Internal_Parking B123'!BC25</f>
        <v>142400.1238940375</v>
      </c>
      <c r="R20" s="856">
        <f>'Corrected Internal_Parking B123'!BE25</f>
        <v>863600.70206621243</v>
      </c>
      <c r="S20" s="856">
        <f>'Corrected Internal_Parking B123'!BF25</f>
        <v>7762.2872574511575</v>
      </c>
      <c r="T20" s="856">
        <f>'Corrected Internal_Parking B123'!BG25</f>
        <v>10027.136416904397</v>
      </c>
      <c r="U20" s="856">
        <f>'Corrected Internal_Parking B123'!BH25</f>
        <v>17100.32896119832</v>
      </c>
      <c r="W20" s="861">
        <f>H20-'Corrected Internal_Parking B123'!AT25</f>
        <v>0</v>
      </c>
      <c r="X20" s="861">
        <f>J20-'Corrected Internal_Parking B123'!AU25</f>
        <v>0</v>
      </c>
      <c r="Y20" s="861">
        <f>I20-'Corrected Internal_Parking B123'!AV25</f>
        <v>0</v>
      </c>
      <c r="Z20" s="861">
        <f>K20-'Corrected Internal_Parking B123'!AW25</f>
        <v>0</v>
      </c>
      <c r="AA20" s="862">
        <f>L20-'Corrected Internal_Parking B123'!AX25</f>
        <v>0</v>
      </c>
      <c r="AB20" s="861">
        <f>N20-'Corrected Internal_Parking B123'!AZ25</f>
        <v>0</v>
      </c>
      <c r="AC20" s="861">
        <f>Q20-'Corrected Internal_Parking B123'!BC25</f>
        <v>0</v>
      </c>
    </row>
    <row r="21" spans="1:29" s="158" customFormat="1" x14ac:dyDescent="0.3">
      <c r="A21" s="863" t="str">
        <f t="shared" si="0"/>
        <v>GF-B1-15</v>
      </c>
      <c r="B21" s="864" t="str">
        <f>'Corrected Internal_Parking B123'!CA26</f>
        <v>UNSOLD</v>
      </c>
      <c r="C21" s="822" t="str">
        <f>'Corrected Internal_Parking B123'!C26</f>
        <v>Building 1</v>
      </c>
      <c r="D21" s="852" t="str">
        <f>'Corrected Internal_Parking B123'!E26</f>
        <v>Ground Floor</v>
      </c>
      <c r="E21" s="853" t="str">
        <f>'Corrected Internal_Parking B123'!F26</f>
        <v>GF-B1-15</v>
      </c>
      <c r="F21" s="854" t="str">
        <f>'Corrected Internal_Parking B123'!G26</f>
        <v>Single Slot</v>
      </c>
      <c r="G21" s="855">
        <f>'Corrected Internal_Parking B123'!H26</f>
        <v>13.5</v>
      </c>
      <c r="H21" s="856">
        <f>'Corrected Internal_Parking B123'!AT26</f>
        <v>832787.56226250005</v>
      </c>
      <c r="I21" s="857">
        <f>'Corrected Internal_Parking B123'!AV26</f>
        <v>83278.756226250014</v>
      </c>
      <c r="J21" s="858">
        <f>'Corrected Internal_Parking B123'!AU26</f>
        <v>99934.507471500008</v>
      </c>
      <c r="K21" s="855">
        <f>'Corrected Internal_Parking B123'!AW26</f>
        <v>1016000.82596025</v>
      </c>
      <c r="L21" s="859">
        <f>'Corrected Internal_Parking B123'!AX26</f>
        <v>0.15</v>
      </c>
      <c r="M21" s="856">
        <f>'Corrected Internal_Parking B123'!AY26</f>
        <v>152400.1238940375</v>
      </c>
      <c r="N21" s="856">
        <f>'Corrected Internal_Parking B123'!AZ26</f>
        <v>10000</v>
      </c>
      <c r="O21" s="856">
        <f>'Corrected Internal_Parking B123'!BA26</f>
        <v>142400.1238940375</v>
      </c>
      <c r="P21" s="860">
        <f>'Corrected Internal_Parking B123'!BB26</f>
        <v>1</v>
      </c>
      <c r="Q21" s="856">
        <f>'Corrected Internal_Parking B123'!BC26</f>
        <v>142400.1238940375</v>
      </c>
      <c r="R21" s="856">
        <f>'Corrected Internal_Parking B123'!BE26</f>
        <v>863600.70206621243</v>
      </c>
      <c r="S21" s="856">
        <f>'Corrected Internal_Parking B123'!BF26</f>
        <v>7762.2872574511575</v>
      </c>
      <c r="T21" s="856">
        <f>'Corrected Internal_Parking B123'!BG26</f>
        <v>10027.136416904397</v>
      </c>
      <c r="U21" s="856">
        <f>'Corrected Internal_Parking B123'!BH26</f>
        <v>17100.32896119832</v>
      </c>
      <c r="V21" s="710"/>
      <c r="W21" s="861">
        <f>H21-'Corrected Internal_Parking B123'!AT26</f>
        <v>0</v>
      </c>
      <c r="X21" s="861">
        <f>J21-'Corrected Internal_Parking B123'!AU26</f>
        <v>0</v>
      </c>
      <c r="Y21" s="861">
        <f>I21-'Corrected Internal_Parking B123'!AV26</f>
        <v>0</v>
      </c>
      <c r="Z21" s="861">
        <f>K21-'Corrected Internal_Parking B123'!AW26</f>
        <v>0</v>
      </c>
      <c r="AA21" s="862">
        <f>L21-'Corrected Internal_Parking B123'!AX26</f>
        <v>0</v>
      </c>
      <c r="AB21" s="861">
        <f>N21-'Corrected Internal_Parking B123'!AZ26</f>
        <v>0</v>
      </c>
      <c r="AC21" s="861">
        <f>Q21-'Corrected Internal_Parking B123'!BC26</f>
        <v>0</v>
      </c>
    </row>
    <row r="22" spans="1:29" s="158" customFormat="1" hidden="1" x14ac:dyDescent="0.3">
      <c r="A22" s="863" t="str">
        <f t="shared" si="0"/>
        <v>GF-B1-16</v>
      </c>
      <c r="B22" s="864" t="str">
        <f>'Corrected Internal_Parking B123'!CA27</f>
        <v>SOLD</v>
      </c>
      <c r="C22" s="822" t="str">
        <f>'Corrected Internal_Parking B123'!C27</f>
        <v>Building 1</v>
      </c>
      <c r="D22" s="852" t="str">
        <f>'Corrected Internal_Parking B123'!E27</f>
        <v>Ground Floor</v>
      </c>
      <c r="E22" s="853" t="str">
        <f>'Corrected Internal_Parking B123'!F27</f>
        <v>GF-B1-16</v>
      </c>
      <c r="F22" s="854" t="str">
        <f>'Corrected Internal_Parking B123'!G27</f>
        <v>Single Slot</v>
      </c>
      <c r="G22" s="855">
        <f>'Corrected Internal_Parking B123'!H27</f>
        <v>13.5</v>
      </c>
      <c r="H22" s="856">
        <f>'Corrected Internal_Parking B123'!AT27</f>
        <v>831235.921875</v>
      </c>
      <c r="I22" s="857">
        <f>'Corrected Internal_Parking B123'!AV27</f>
        <v>83123.592187500006</v>
      </c>
      <c r="J22" s="858">
        <f>'Corrected Internal_Parking B123'!AU27</f>
        <v>99748.310624999998</v>
      </c>
      <c r="K22" s="855">
        <f>'Corrected Internal_Parking B123'!AW27</f>
        <v>1014107.8246875</v>
      </c>
      <c r="L22" s="859">
        <f>'Corrected Internal_Parking B123'!AX27</f>
        <v>0.15</v>
      </c>
      <c r="M22" s="856">
        <f>'Corrected Internal_Parking B123'!AY27</f>
        <v>152116.17370312501</v>
      </c>
      <c r="N22" s="856">
        <f>'Corrected Internal_Parking B123'!AZ27</f>
        <v>10000</v>
      </c>
      <c r="O22" s="856">
        <f>'Corrected Internal_Parking B123'!BA27</f>
        <v>142116.17370312501</v>
      </c>
      <c r="P22" s="860">
        <f>'Corrected Internal_Parking B123'!BB27</f>
        <v>1</v>
      </c>
      <c r="Q22" s="856">
        <f>'Corrected Internal_Parking B123'!BC27</f>
        <v>142116.17370312501</v>
      </c>
      <c r="R22" s="856">
        <f>'Corrected Internal_Parking B123'!BE27</f>
        <v>861991.65098437504</v>
      </c>
      <c r="S22" s="856">
        <f>'Corrected Internal_Parking B123'!BF27</f>
        <v>7747.8246514351467</v>
      </c>
      <c r="T22" s="856">
        <f>'Corrected Internal_Parking B123'!BG27</f>
        <v>10008.453969494676</v>
      </c>
      <c r="U22" s="856">
        <f>'Corrected Internal_Parking B123'!BH27</f>
        <v>17068.467821265294</v>
      </c>
      <c r="V22" s="710"/>
      <c r="W22" s="861">
        <f>H22-'Corrected Internal_Parking B123'!AT27</f>
        <v>0</v>
      </c>
      <c r="X22" s="861">
        <f>J22-'Corrected Internal_Parking B123'!AU27</f>
        <v>0</v>
      </c>
      <c r="Y22" s="861">
        <f>I22-'Corrected Internal_Parking B123'!AV27</f>
        <v>0</v>
      </c>
      <c r="Z22" s="861">
        <f>K22-'Corrected Internal_Parking B123'!AW27</f>
        <v>0</v>
      </c>
      <c r="AA22" s="862">
        <f>L22-'Corrected Internal_Parking B123'!AX27</f>
        <v>0</v>
      </c>
      <c r="AB22" s="861">
        <f>N22-'Corrected Internal_Parking B123'!AZ27</f>
        <v>0</v>
      </c>
      <c r="AC22" s="861">
        <f>Q22-'Corrected Internal_Parking B123'!BC27</f>
        <v>0</v>
      </c>
    </row>
    <row r="23" spans="1:29" s="158" customFormat="1" x14ac:dyDescent="0.3">
      <c r="A23" s="863" t="str">
        <f t="shared" si="0"/>
        <v>GF-B1-17</v>
      </c>
      <c r="B23" s="864" t="str">
        <f>'Corrected Internal_Parking B123'!CA28</f>
        <v>UNSOLD</v>
      </c>
      <c r="C23" s="822" t="str">
        <f>'Corrected Internal_Parking B123'!C28</f>
        <v>Building 1</v>
      </c>
      <c r="D23" s="852" t="str">
        <f>'Corrected Internal_Parking B123'!E28</f>
        <v>Ground Floor</v>
      </c>
      <c r="E23" s="853" t="str">
        <f>'Corrected Internal_Parking B123'!F28</f>
        <v>GF-B1-17</v>
      </c>
      <c r="F23" s="854" t="str">
        <f>'Corrected Internal_Parking B123'!G28</f>
        <v>Single Slot</v>
      </c>
      <c r="G23" s="855">
        <f>'Corrected Internal_Parking B123'!H28</f>
        <v>13.5</v>
      </c>
      <c r="H23" s="856">
        <f>'Corrected Internal_Parking B123'!AT28</f>
        <v>832787.56226250005</v>
      </c>
      <c r="I23" s="857">
        <f>'Corrected Internal_Parking B123'!AV28</f>
        <v>83278.756226250014</v>
      </c>
      <c r="J23" s="858">
        <f>'Corrected Internal_Parking B123'!AU28</f>
        <v>99934.507471500008</v>
      </c>
      <c r="K23" s="855">
        <f>'Corrected Internal_Parking B123'!AW28</f>
        <v>1016000.82596025</v>
      </c>
      <c r="L23" s="859">
        <f>'Corrected Internal_Parking B123'!AX28</f>
        <v>0.15</v>
      </c>
      <c r="M23" s="856">
        <f>'Corrected Internal_Parking B123'!AY28</f>
        <v>152400.1238940375</v>
      </c>
      <c r="N23" s="856">
        <f>'Corrected Internal_Parking B123'!AZ28</f>
        <v>10000</v>
      </c>
      <c r="O23" s="856">
        <f>'Corrected Internal_Parking B123'!BA28</f>
        <v>142400.1238940375</v>
      </c>
      <c r="P23" s="860">
        <f>'Corrected Internal_Parking B123'!BB28</f>
        <v>1</v>
      </c>
      <c r="Q23" s="856">
        <f>'Corrected Internal_Parking B123'!BC28</f>
        <v>142400.1238940375</v>
      </c>
      <c r="R23" s="856">
        <f>'Corrected Internal_Parking B123'!BE28</f>
        <v>863600.70206621243</v>
      </c>
      <c r="S23" s="856">
        <f>'Corrected Internal_Parking B123'!BF28</f>
        <v>7762.2872574511575</v>
      </c>
      <c r="T23" s="856">
        <f>'Corrected Internal_Parking B123'!BG28</f>
        <v>10027.136416904397</v>
      </c>
      <c r="U23" s="856">
        <f>'Corrected Internal_Parking B123'!BH28</f>
        <v>17100.32896119832</v>
      </c>
      <c r="V23" s="710"/>
      <c r="W23" s="861">
        <f>H23-'Corrected Internal_Parking B123'!AT28</f>
        <v>0</v>
      </c>
      <c r="X23" s="861">
        <f>J23-'Corrected Internal_Parking B123'!AU28</f>
        <v>0</v>
      </c>
      <c r="Y23" s="861">
        <f>I23-'Corrected Internal_Parking B123'!AV28</f>
        <v>0</v>
      </c>
      <c r="Z23" s="861">
        <f>K23-'Corrected Internal_Parking B123'!AW28</f>
        <v>0</v>
      </c>
      <c r="AA23" s="862">
        <f>L23-'Corrected Internal_Parking B123'!AX28</f>
        <v>0</v>
      </c>
      <c r="AB23" s="861">
        <f>N23-'Corrected Internal_Parking B123'!AZ28</f>
        <v>0</v>
      </c>
      <c r="AC23" s="861">
        <f>Q23-'Corrected Internal_Parking B123'!BC28</f>
        <v>0</v>
      </c>
    </row>
    <row r="24" spans="1:29" s="158" customFormat="1" ht="12.75" customHeight="1" x14ac:dyDescent="0.3">
      <c r="A24" s="863" t="str">
        <f t="shared" si="0"/>
        <v>GF-B1-18</v>
      </c>
      <c r="B24" s="864" t="str">
        <f>'Corrected Internal_Parking B123'!CA29</f>
        <v>UNSOLD</v>
      </c>
      <c r="C24" s="822" t="str">
        <f>'Corrected Internal_Parking B123'!C29</f>
        <v>Building 1</v>
      </c>
      <c r="D24" s="852" t="str">
        <f>'Corrected Internal_Parking B123'!E29</f>
        <v>Ground Floor</v>
      </c>
      <c r="E24" s="853" t="str">
        <f>'Corrected Internal_Parking B123'!F29</f>
        <v>GF-B1-18</v>
      </c>
      <c r="F24" s="854" t="str">
        <f>'Corrected Internal_Parking B123'!G29</f>
        <v>Single Slot</v>
      </c>
      <c r="G24" s="855">
        <f>'Corrected Internal_Parking B123'!H29</f>
        <v>13.5</v>
      </c>
      <c r="H24" s="856">
        <f>'Corrected Internal_Parking B123'!AT29</f>
        <v>832787.56226250005</v>
      </c>
      <c r="I24" s="857">
        <f>'Corrected Internal_Parking B123'!AV29</f>
        <v>83278.756226250014</v>
      </c>
      <c r="J24" s="858">
        <f>'Corrected Internal_Parking B123'!AU29</f>
        <v>99934.507471500008</v>
      </c>
      <c r="K24" s="855">
        <f>'Corrected Internal_Parking B123'!AW29</f>
        <v>1016000.82596025</v>
      </c>
      <c r="L24" s="859">
        <f>'Corrected Internal_Parking B123'!AX29</f>
        <v>0.15</v>
      </c>
      <c r="M24" s="856">
        <f>'Corrected Internal_Parking B123'!AY29</f>
        <v>152400.1238940375</v>
      </c>
      <c r="N24" s="856">
        <f>'Corrected Internal_Parking B123'!AZ29</f>
        <v>10000</v>
      </c>
      <c r="O24" s="856">
        <f>'Corrected Internal_Parking B123'!BA29</f>
        <v>142400.1238940375</v>
      </c>
      <c r="P24" s="860">
        <f>'Corrected Internal_Parking B123'!BB29</f>
        <v>1</v>
      </c>
      <c r="Q24" s="856">
        <f>'Corrected Internal_Parking B123'!BC29</f>
        <v>142400.1238940375</v>
      </c>
      <c r="R24" s="856">
        <f>'Corrected Internal_Parking B123'!BE29</f>
        <v>863600.70206621243</v>
      </c>
      <c r="S24" s="856">
        <f>'Corrected Internal_Parking B123'!BF29</f>
        <v>7762.2872574511575</v>
      </c>
      <c r="T24" s="856">
        <f>'Corrected Internal_Parking B123'!BG29</f>
        <v>10027.136416904397</v>
      </c>
      <c r="U24" s="856">
        <f>'Corrected Internal_Parking B123'!BH29</f>
        <v>17100.32896119832</v>
      </c>
      <c r="V24" s="710"/>
      <c r="W24" s="861">
        <f>H24-'Corrected Internal_Parking B123'!AT29</f>
        <v>0</v>
      </c>
      <c r="X24" s="861">
        <f>J24-'Corrected Internal_Parking B123'!AU29</f>
        <v>0</v>
      </c>
      <c r="Y24" s="861">
        <f>I24-'Corrected Internal_Parking B123'!AV29</f>
        <v>0</v>
      </c>
      <c r="Z24" s="861">
        <f>K24-'Corrected Internal_Parking B123'!AW29</f>
        <v>0</v>
      </c>
      <c r="AA24" s="862">
        <f>L24-'Corrected Internal_Parking B123'!AX29</f>
        <v>0</v>
      </c>
      <c r="AB24" s="861">
        <f>N24-'Corrected Internal_Parking B123'!AZ29</f>
        <v>0</v>
      </c>
      <c r="AC24" s="861">
        <f>Q24-'Corrected Internal_Parking B123'!BC29</f>
        <v>0</v>
      </c>
    </row>
    <row r="25" spans="1:29" s="158" customFormat="1" ht="12.75" hidden="1" customHeight="1" x14ac:dyDescent="0.3">
      <c r="A25" s="863" t="str">
        <f t="shared" si="0"/>
        <v>GF-B1-19</v>
      </c>
      <c r="B25" s="864" t="str">
        <f>'Corrected Internal_Parking B123'!CA30</f>
        <v>SOLD</v>
      </c>
      <c r="C25" s="822" t="str">
        <f>'Corrected Internal_Parking B123'!C30</f>
        <v>Building 1</v>
      </c>
      <c r="D25" s="852" t="str">
        <f>'Corrected Internal_Parking B123'!E30</f>
        <v>Ground Floor</v>
      </c>
      <c r="E25" s="853" t="str">
        <f>'Corrected Internal_Parking B123'!F30</f>
        <v>GF-B1-19</v>
      </c>
      <c r="F25" s="854" t="str">
        <f>'Corrected Internal_Parking B123'!G30</f>
        <v>Single Slot</v>
      </c>
      <c r="G25" s="855">
        <f>'Corrected Internal_Parking B123'!H30</f>
        <v>13.5</v>
      </c>
      <c r="H25" s="856">
        <f>'Corrected Internal_Parking B123'!AT30</f>
        <v>831235.921875</v>
      </c>
      <c r="I25" s="857">
        <f>'Corrected Internal_Parking B123'!AV30</f>
        <v>83123.592187500006</v>
      </c>
      <c r="J25" s="858">
        <f>'Corrected Internal_Parking B123'!AU30</f>
        <v>99748.310624999998</v>
      </c>
      <c r="K25" s="855">
        <f>'Corrected Internal_Parking B123'!AW30</f>
        <v>1014107.8246875</v>
      </c>
      <c r="L25" s="859">
        <f>'Corrected Internal_Parking B123'!AX30</f>
        <v>0.15</v>
      </c>
      <c r="M25" s="856">
        <f>'Corrected Internal_Parking B123'!AY30</f>
        <v>152116.17370312501</v>
      </c>
      <c r="N25" s="856">
        <f>'Corrected Internal_Parking B123'!AZ30</f>
        <v>10000</v>
      </c>
      <c r="O25" s="856">
        <f>'Corrected Internal_Parking B123'!BA30</f>
        <v>142116.17370312501</v>
      </c>
      <c r="P25" s="860">
        <f>'Corrected Internal_Parking B123'!BB30</f>
        <v>1</v>
      </c>
      <c r="Q25" s="856">
        <f>'Corrected Internal_Parking B123'!BC30</f>
        <v>142116.17370312501</v>
      </c>
      <c r="R25" s="856">
        <f>'Corrected Internal_Parking B123'!BE30</f>
        <v>861991.65098437504</v>
      </c>
      <c r="S25" s="856">
        <f>'Corrected Internal_Parking B123'!BF30</f>
        <v>7747.8246514351467</v>
      </c>
      <c r="T25" s="856">
        <f>'Corrected Internal_Parking B123'!BG30</f>
        <v>10008.453969494676</v>
      </c>
      <c r="U25" s="856">
        <f>'Corrected Internal_Parking B123'!BH30</f>
        <v>17068.467821265294</v>
      </c>
      <c r="V25" s="710"/>
      <c r="W25" s="861">
        <f>H25-'Corrected Internal_Parking B123'!AT30</f>
        <v>0</v>
      </c>
      <c r="X25" s="861">
        <f>J25-'Corrected Internal_Parking B123'!AU30</f>
        <v>0</v>
      </c>
      <c r="Y25" s="861">
        <f>I25-'Corrected Internal_Parking B123'!AV30</f>
        <v>0</v>
      </c>
      <c r="Z25" s="861">
        <f>K25-'Corrected Internal_Parking B123'!AW30</f>
        <v>0</v>
      </c>
      <c r="AA25" s="862">
        <f>L25-'Corrected Internal_Parking B123'!AX30</f>
        <v>0</v>
      </c>
      <c r="AB25" s="861">
        <f>N25-'Corrected Internal_Parking B123'!AZ30</f>
        <v>0</v>
      </c>
      <c r="AC25" s="861">
        <f>Q25-'Corrected Internal_Parking B123'!BC30</f>
        <v>0</v>
      </c>
    </row>
    <row r="26" spans="1:29" s="158" customFormat="1" ht="12.75" hidden="1" customHeight="1" x14ac:dyDescent="0.3">
      <c r="A26" s="863" t="str">
        <f t="shared" si="0"/>
        <v>GF-B1-20</v>
      </c>
      <c r="B26" s="864" t="str">
        <f>'Corrected Internal_Parking B123'!CA31</f>
        <v>SOLD</v>
      </c>
      <c r="C26" s="822" t="str">
        <f>'Corrected Internal_Parking B123'!C31</f>
        <v>Building 1</v>
      </c>
      <c r="D26" s="852" t="str">
        <f>'Corrected Internal_Parking B123'!E31</f>
        <v>Ground Floor</v>
      </c>
      <c r="E26" s="853" t="str">
        <f>'Corrected Internal_Parking B123'!F31</f>
        <v>GF-B1-20</v>
      </c>
      <c r="F26" s="854" t="str">
        <f>'Corrected Internal_Parking B123'!G31</f>
        <v>Single Slot</v>
      </c>
      <c r="G26" s="855">
        <f>'Corrected Internal_Parking B123'!H31</f>
        <v>18.5</v>
      </c>
      <c r="H26" s="856">
        <f>'Corrected Internal_Parking B123'!AT31</f>
        <v>956136.65625</v>
      </c>
      <c r="I26" s="857">
        <f>'Corrected Internal_Parking B123'!AV31</f>
        <v>95613.665625000009</v>
      </c>
      <c r="J26" s="858">
        <f>'Corrected Internal_Parking B123'!AU31</f>
        <v>114736.39874999999</v>
      </c>
      <c r="K26" s="855">
        <f>'Corrected Internal_Parking B123'!AW31</f>
        <v>1166486.7206249998</v>
      </c>
      <c r="L26" s="859">
        <f>'Corrected Internal_Parking B123'!AX31</f>
        <v>0.15</v>
      </c>
      <c r="M26" s="856">
        <f>'Corrected Internal_Parking B123'!AY31</f>
        <v>174973.00809374996</v>
      </c>
      <c r="N26" s="856">
        <f>'Corrected Internal_Parking B123'!AZ31</f>
        <v>10000</v>
      </c>
      <c r="O26" s="856">
        <f>'Corrected Internal_Parking B123'!BA31</f>
        <v>164973.00809374996</v>
      </c>
      <c r="P26" s="860">
        <f>'Corrected Internal_Parking B123'!BB31</f>
        <v>1</v>
      </c>
      <c r="Q26" s="856">
        <f>'Corrected Internal_Parking B123'!BC31</f>
        <v>164973.00809374996</v>
      </c>
      <c r="R26" s="856">
        <f>'Corrected Internal_Parking B123'!BE31</f>
        <v>991513.71253124985</v>
      </c>
      <c r="S26" s="856">
        <f>'Corrected Internal_Parking B123'!BF31</f>
        <v>8912.0055576093382</v>
      </c>
      <c r="T26" s="856">
        <f>'Corrected Internal_Parking B123'!BG31</f>
        <v>11512.314928641541</v>
      </c>
      <c r="U26" s="856">
        <f>'Corrected Internal_Parking B123'!BH31</f>
        <v>19633.159877310332</v>
      </c>
      <c r="V26" s="710"/>
      <c r="W26" s="861">
        <f>H26-'Corrected Internal_Parking B123'!AT31</f>
        <v>0</v>
      </c>
      <c r="X26" s="861">
        <f>J26-'Corrected Internal_Parking B123'!AU31</f>
        <v>0</v>
      </c>
      <c r="Y26" s="861">
        <f>I26-'Corrected Internal_Parking B123'!AV31</f>
        <v>0</v>
      </c>
      <c r="Z26" s="861">
        <f>K26-'Corrected Internal_Parking B123'!AW31</f>
        <v>0</v>
      </c>
      <c r="AA26" s="862">
        <f>L26-'Corrected Internal_Parking B123'!AX31</f>
        <v>0</v>
      </c>
      <c r="AB26" s="861">
        <f>N26-'Corrected Internal_Parking B123'!AZ31</f>
        <v>0</v>
      </c>
      <c r="AC26" s="861">
        <f>Q26-'Corrected Internal_Parking B123'!BC31</f>
        <v>0</v>
      </c>
    </row>
    <row r="27" spans="1:29" s="158" customFormat="1" hidden="1" x14ac:dyDescent="0.3">
      <c r="A27" s="863" t="str">
        <f t="shared" si="0"/>
        <v>GF-B1-21</v>
      </c>
      <c r="B27" s="864" t="str">
        <f>'Corrected Internal_Parking B123'!CA32</f>
        <v>SOLD</v>
      </c>
      <c r="C27" s="822" t="str">
        <f>'Corrected Internal_Parking B123'!C32</f>
        <v>Building 1</v>
      </c>
      <c r="D27" s="852" t="str">
        <f>'Corrected Internal_Parking B123'!E32</f>
        <v>Ground Floor</v>
      </c>
      <c r="E27" s="853" t="str">
        <f>'Corrected Internal_Parking B123'!F32</f>
        <v>GF-B1-21</v>
      </c>
      <c r="F27" s="854" t="str">
        <f>'Corrected Internal_Parking B123'!G32</f>
        <v>Single Slot</v>
      </c>
      <c r="G27" s="855">
        <f>'Corrected Internal_Parking B123'!H32</f>
        <v>13.5</v>
      </c>
      <c r="H27" s="856">
        <f>'Corrected Internal_Parking B123'!AT32</f>
        <v>852770.53125</v>
      </c>
      <c r="I27" s="857">
        <f>'Corrected Internal_Parking B123'!AV32</f>
        <v>85277.053125000006</v>
      </c>
      <c r="J27" s="858">
        <f>'Corrected Internal_Parking B123'!AU32</f>
        <v>102332.46375</v>
      </c>
      <c r="K27" s="855">
        <f>'Corrected Internal_Parking B123'!AW32</f>
        <v>1040380.048125</v>
      </c>
      <c r="L27" s="859">
        <f>'Corrected Internal_Parking B123'!AX32</f>
        <v>0.15</v>
      </c>
      <c r="M27" s="856">
        <f>'Corrected Internal_Parking B123'!AY32</f>
        <v>156057.00721874999</v>
      </c>
      <c r="N27" s="856">
        <f>'Corrected Internal_Parking B123'!AZ32</f>
        <v>10000</v>
      </c>
      <c r="O27" s="856">
        <f>'Corrected Internal_Parking B123'!BA32</f>
        <v>146057.00721874999</v>
      </c>
      <c r="P27" s="860">
        <f>'Corrected Internal_Parking B123'!BB32</f>
        <v>1</v>
      </c>
      <c r="Q27" s="856">
        <f>'Corrected Internal_Parking B123'!BC32</f>
        <v>146057.00721874999</v>
      </c>
      <c r="R27" s="856">
        <f>'Corrected Internal_Parking B123'!BE32</f>
        <v>884323.04090625001</v>
      </c>
      <c r="S27" s="856">
        <f>'Corrected Internal_Parking B123'!BF32</f>
        <v>7948.5454973272472</v>
      </c>
      <c r="T27" s="856">
        <f>'Corrected Internal_Parking B123'!BG32</f>
        <v>10267.740341761377</v>
      </c>
      <c r="U27" s="856">
        <f>'Corrected Internal_Parking B123'!BH32</f>
        <v>17510.656106790302</v>
      </c>
      <c r="V27" s="710"/>
      <c r="W27" s="861">
        <f>H27-'Corrected Internal_Parking B123'!AT32</f>
        <v>0</v>
      </c>
      <c r="X27" s="861">
        <f>J27-'Corrected Internal_Parking B123'!AU32</f>
        <v>0</v>
      </c>
      <c r="Y27" s="861">
        <f>I27-'Corrected Internal_Parking B123'!AV32</f>
        <v>0</v>
      </c>
      <c r="Z27" s="861">
        <f>K27-'Corrected Internal_Parking B123'!AW32</f>
        <v>0</v>
      </c>
      <c r="AA27" s="862">
        <f>L27-'Corrected Internal_Parking B123'!AX32</f>
        <v>0</v>
      </c>
      <c r="AB27" s="861">
        <f>N27-'Corrected Internal_Parking B123'!AZ32</f>
        <v>0</v>
      </c>
      <c r="AC27" s="861">
        <f>Q27-'Corrected Internal_Parking B123'!BC32</f>
        <v>0</v>
      </c>
    </row>
    <row r="28" spans="1:29" s="158" customFormat="1" hidden="1" x14ac:dyDescent="0.3">
      <c r="A28" s="863" t="str">
        <f t="shared" si="0"/>
        <v>GF-B1-22</v>
      </c>
      <c r="B28" s="864" t="str">
        <f>'Corrected Internal_Parking B123'!CA33</f>
        <v>SOLD</v>
      </c>
      <c r="C28" s="822" t="str">
        <f>'Corrected Internal_Parking B123'!C33</f>
        <v>Building 1</v>
      </c>
      <c r="D28" s="852" t="str">
        <f>'Corrected Internal_Parking B123'!E33</f>
        <v>Ground Floor</v>
      </c>
      <c r="E28" s="853" t="str">
        <f>'Corrected Internal_Parking B123'!F33</f>
        <v>GF-B1-22</v>
      </c>
      <c r="F28" s="854" t="str">
        <f>'Corrected Internal_Parking B123'!G33</f>
        <v>Single Slot</v>
      </c>
      <c r="G28" s="855">
        <f>'Corrected Internal_Parking B123'!H33</f>
        <v>13.5</v>
      </c>
      <c r="H28" s="856">
        <f>'Corrected Internal_Parking B123'!AT33</f>
        <v>852770.53125</v>
      </c>
      <c r="I28" s="857">
        <f>'Corrected Internal_Parking B123'!AV33</f>
        <v>85277.053125000006</v>
      </c>
      <c r="J28" s="858">
        <f>'Corrected Internal_Parking B123'!AU33</f>
        <v>102332.46375</v>
      </c>
      <c r="K28" s="855">
        <f>'Corrected Internal_Parking B123'!AW33</f>
        <v>1040380.048125</v>
      </c>
      <c r="L28" s="859">
        <f>'Corrected Internal_Parking B123'!AX33</f>
        <v>0.15</v>
      </c>
      <c r="M28" s="856">
        <f>'Corrected Internal_Parking B123'!AY33</f>
        <v>156057.00721874999</v>
      </c>
      <c r="N28" s="856">
        <f>'Corrected Internal_Parking B123'!AZ33</f>
        <v>10000</v>
      </c>
      <c r="O28" s="856">
        <f>'Corrected Internal_Parking B123'!BA33</f>
        <v>146057.00721874999</v>
      </c>
      <c r="P28" s="860">
        <f>'Corrected Internal_Parking B123'!BB33</f>
        <v>1</v>
      </c>
      <c r="Q28" s="856">
        <f>'Corrected Internal_Parking B123'!BC33</f>
        <v>146057.00721874999</v>
      </c>
      <c r="R28" s="856">
        <f>'Corrected Internal_Parking B123'!BE33</f>
        <v>884323.04090625001</v>
      </c>
      <c r="S28" s="856">
        <f>'Corrected Internal_Parking B123'!BF33</f>
        <v>7948.5454973272472</v>
      </c>
      <c r="T28" s="856">
        <f>'Corrected Internal_Parking B123'!BG33</f>
        <v>10267.740341761377</v>
      </c>
      <c r="U28" s="856">
        <f>'Corrected Internal_Parking B123'!BH33</f>
        <v>17510.656106790302</v>
      </c>
      <c r="V28" s="710"/>
      <c r="W28" s="861">
        <f>H28-'Corrected Internal_Parking B123'!AT33</f>
        <v>0</v>
      </c>
      <c r="X28" s="861">
        <f>J28-'Corrected Internal_Parking B123'!AU33</f>
        <v>0</v>
      </c>
      <c r="Y28" s="861">
        <f>I28-'Corrected Internal_Parking B123'!AV33</f>
        <v>0</v>
      </c>
      <c r="Z28" s="861">
        <f>K28-'Corrected Internal_Parking B123'!AW33</f>
        <v>0</v>
      </c>
      <c r="AA28" s="862">
        <f>L28-'Corrected Internal_Parking B123'!AX33</f>
        <v>0</v>
      </c>
      <c r="AB28" s="861">
        <f>N28-'Corrected Internal_Parking B123'!AZ33</f>
        <v>0</v>
      </c>
      <c r="AC28" s="861">
        <f>Q28-'Corrected Internal_Parking B123'!BC33</f>
        <v>0</v>
      </c>
    </row>
    <row r="29" spans="1:29" s="158" customFormat="1" ht="12.75" hidden="1" customHeight="1" x14ac:dyDescent="0.3">
      <c r="A29" s="863" t="str">
        <f t="shared" si="0"/>
        <v>GF-B1-23</v>
      </c>
      <c r="B29" s="864" t="str">
        <f>'Corrected Internal_Parking B123'!CA34</f>
        <v>SOLD</v>
      </c>
      <c r="C29" s="822" t="str">
        <f>'Corrected Internal_Parking B123'!C34</f>
        <v>Building 1</v>
      </c>
      <c r="D29" s="852" t="str">
        <f>'Corrected Internal_Parking B123'!E34</f>
        <v>Ground Floor</v>
      </c>
      <c r="E29" s="853" t="str">
        <f>'Corrected Internal_Parking B123'!F34</f>
        <v>GF-B1-23</v>
      </c>
      <c r="F29" s="854" t="str">
        <f>'Corrected Internal_Parking B123'!G34</f>
        <v>Single Slot</v>
      </c>
      <c r="G29" s="855">
        <f>'Corrected Internal_Parking B123'!H34</f>
        <v>18.5</v>
      </c>
      <c r="H29" s="856">
        <f>'Corrected Internal_Parking B123'!AT34</f>
        <v>956136.65625</v>
      </c>
      <c r="I29" s="857">
        <f>'Corrected Internal_Parking B123'!AV34</f>
        <v>95613.665625000009</v>
      </c>
      <c r="J29" s="858">
        <f>'Corrected Internal_Parking B123'!AU34</f>
        <v>114736.39874999999</v>
      </c>
      <c r="K29" s="855">
        <f>'Corrected Internal_Parking B123'!AW34</f>
        <v>1166486.7206249998</v>
      </c>
      <c r="L29" s="859">
        <f>'Corrected Internal_Parking B123'!AX34</f>
        <v>0.15</v>
      </c>
      <c r="M29" s="856">
        <f>'Corrected Internal_Parking B123'!AY34</f>
        <v>174973.00809374996</v>
      </c>
      <c r="N29" s="856">
        <f>'Corrected Internal_Parking B123'!AZ34</f>
        <v>10000</v>
      </c>
      <c r="O29" s="856">
        <f>'Corrected Internal_Parking B123'!BA34</f>
        <v>164973.00809374996</v>
      </c>
      <c r="P29" s="860">
        <f>'Corrected Internal_Parking B123'!BB34</f>
        <v>1</v>
      </c>
      <c r="Q29" s="856">
        <f>'Corrected Internal_Parking B123'!BC34</f>
        <v>164973.00809374996</v>
      </c>
      <c r="R29" s="856">
        <f>'Corrected Internal_Parking B123'!BE34</f>
        <v>991513.71253124985</v>
      </c>
      <c r="S29" s="856">
        <f>'Corrected Internal_Parking B123'!BF34</f>
        <v>8912.0055576093382</v>
      </c>
      <c r="T29" s="856">
        <f>'Corrected Internal_Parking B123'!BG34</f>
        <v>11512.314928641541</v>
      </c>
      <c r="U29" s="856">
        <f>'Corrected Internal_Parking B123'!BH34</f>
        <v>19633.159877310332</v>
      </c>
      <c r="V29" s="710"/>
      <c r="W29" s="861">
        <f>H29-'Corrected Internal_Parking B123'!AT34</f>
        <v>0</v>
      </c>
      <c r="X29" s="861">
        <f>J29-'Corrected Internal_Parking B123'!AU34</f>
        <v>0</v>
      </c>
      <c r="Y29" s="861">
        <f>I29-'Corrected Internal_Parking B123'!AV34</f>
        <v>0</v>
      </c>
      <c r="Z29" s="861">
        <f>K29-'Corrected Internal_Parking B123'!AW34</f>
        <v>0</v>
      </c>
      <c r="AA29" s="862">
        <f>L29-'Corrected Internal_Parking B123'!AX34</f>
        <v>0</v>
      </c>
      <c r="AB29" s="861">
        <f>N29-'Corrected Internal_Parking B123'!AZ34</f>
        <v>0</v>
      </c>
      <c r="AC29" s="861">
        <f>Q29-'Corrected Internal_Parking B123'!BC34</f>
        <v>0</v>
      </c>
    </row>
    <row r="30" spans="1:29" s="158" customFormat="1" ht="12.75" hidden="1" customHeight="1" x14ac:dyDescent="0.3">
      <c r="A30" s="863" t="str">
        <f t="shared" si="0"/>
        <v>GF-B1-24</v>
      </c>
      <c r="B30" s="864" t="str">
        <f>'Corrected Internal_Parking B123'!CA35</f>
        <v>SOLD</v>
      </c>
      <c r="C30" s="822" t="str">
        <f>'Corrected Internal_Parking B123'!C35</f>
        <v>Building 1</v>
      </c>
      <c r="D30" s="852" t="str">
        <f>'Corrected Internal_Parking B123'!E35</f>
        <v>Ground Floor</v>
      </c>
      <c r="E30" s="853" t="str">
        <f>'Corrected Internal_Parking B123'!F35</f>
        <v>GF-B1-24</v>
      </c>
      <c r="F30" s="854" t="str">
        <f>'Corrected Internal_Parking B123'!G35</f>
        <v>Single Slot</v>
      </c>
      <c r="G30" s="855">
        <f>'Corrected Internal_Parking B123'!H35</f>
        <v>13.5</v>
      </c>
      <c r="H30" s="856">
        <f>'Corrected Internal_Parking B123'!AT35</f>
        <v>852770.53125</v>
      </c>
      <c r="I30" s="857">
        <f>'Corrected Internal_Parking B123'!AV35</f>
        <v>85277.053125000006</v>
      </c>
      <c r="J30" s="858">
        <f>'Corrected Internal_Parking B123'!AU35</f>
        <v>102332.46375</v>
      </c>
      <c r="K30" s="855">
        <f>'Corrected Internal_Parking B123'!AW35</f>
        <v>1040380.048125</v>
      </c>
      <c r="L30" s="859">
        <f>'Corrected Internal_Parking B123'!AX35</f>
        <v>0.15</v>
      </c>
      <c r="M30" s="856">
        <f>'Corrected Internal_Parking B123'!AY35</f>
        <v>156057.00721874999</v>
      </c>
      <c r="N30" s="856">
        <f>'Corrected Internal_Parking B123'!AZ35</f>
        <v>10000</v>
      </c>
      <c r="O30" s="856">
        <f>'Corrected Internal_Parking B123'!BA35</f>
        <v>146057.00721874999</v>
      </c>
      <c r="P30" s="860">
        <f>'Corrected Internal_Parking B123'!BB35</f>
        <v>1</v>
      </c>
      <c r="Q30" s="856">
        <f>'Corrected Internal_Parking B123'!BC35</f>
        <v>146057.00721874999</v>
      </c>
      <c r="R30" s="856">
        <f>'Corrected Internal_Parking B123'!BE35</f>
        <v>884323.04090625001</v>
      </c>
      <c r="S30" s="856">
        <f>'Corrected Internal_Parking B123'!BF35</f>
        <v>7948.5454973272472</v>
      </c>
      <c r="T30" s="856">
        <f>'Corrected Internal_Parking B123'!BG35</f>
        <v>10267.740341761377</v>
      </c>
      <c r="U30" s="856">
        <f>'Corrected Internal_Parking B123'!BH35</f>
        <v>17510.656106790302</v>
      </c>
      <c r="V30" s="710"/>
      <c r="W30" s="861">
        <f>H30-'Corrected Internal_Parking B123'!AT35</f>
        <v>0</v>
      </c>
      <c r="X30" s="861">
        <f>J30-'Corrected Internal_Parking B123'!AU35</f>
        <v>0</v>
      </c>
      <c r="Y30" s="861">
        <f>I30-'Corrected Internal_Parking B123'!AV35</f>
        <v>0</v>
      </c>
      <c r="Z30" s="861">
        <f>K30-'Corrected Internal_Parking B123'!AW35</f>
        <v>0</v>
      </c>
      <c r="AA30" s="862">
        <f>L30-'Corrected Internal_Parking B123'!AX35</f>
        <v>0</v>
      </c>
      <c r="AB30" s="861">
        <f>N30-'Corrected Internal_Parking B123'!AZ35</f>
        <v>0</v>
      </c>
      <c r="AC30" s="861">
        <f>Q30-'Corrected Internal_Parking B123'!BC35</f>
        <v>0</v>
      </c>
    </row>
    <row r="31" spans="1:29" s="158" customFormat="1" hidden="1" x14ac:dyDescent="0.3">
      <c r="A31" s="863" t="str">
        <f t="shared" si="0"/>
        <v>GF-B1-25</v>
      </c>
      <c r="B31" s="864" t="str">
        <f>'Corrected Internal_Parking B123'!CA36</f>
        <v>NOT YET OPEN</v>
      </c>
      <c r="C31" s="822" t="str">
        <f>'Corrected Internal_Parking B123'!C36</f>
        <v>Building 1</v>
      </c>
      <c r="D31" s="852" t="str">
        <f>'Corrected Internal_Parking B123'!E36</f>
        <v>Ground Floor</v>
      </c>
      <c r="E31" s="853" t="str">
        <f>'Corrected Internal_Parking B123'!F36</f>
        <v>GF-B1-25</v>
      </c>
      <c r="F31" s="854" t="str">
        <f>'Corrected Internal_Parking B123'!G36</f>
        <v>Single Slot</v>
      </c>
      <c r="G31" s="855">
        <f>'Corrected Internal_Parking B123'!H36</f>
        <v>18.5</v>
      </c>
      <c r="H31" s="856">
        <f>'Corrected Internal_Parking B123'!AT36</f>
        <v>956136.65625</v>
      </c>
      <c r="I31" s="857">
        <f>'Corrected Internal_Parking B123'!AV36</f>
        <v>95613.665625000009</v>
      </c>
      <c r="J31" s="858">
        <f>'Corrected Internal_Parking B123'!AU36</f>
        <v>114736.39874999999</v>
      </c>
      <c r="K31" s="855">
        <f>'Corrected Internal_Parking B123'!AW36</f>
        <v>1166486.7206249998</v>
      </c>
      <c r="L31" s="859">
        <f>'Corrected Internal_Parking B123'!AX36</f>
        <v>0.15</v>
      </c>
      <c r="M31" s="856">
        <f>'Corrected Internal_Parking B123'!AY36</f>
        <v>174973.00809374996</v>
      </c>
      <c r="N31" s="856">
        <f>'Corrected Internal_Parking B123'!AZ36</f>
        <v>10000</v>
      </c>
      <c r="O31" s="856">
        <f>'Corrected Internal_Parking B123'!BA36</f>
        <v>164973.00809374996</v>
      </c>
      <c r="P31" s="860">
        <f>'Corrected Internal_Parking B123'!BB36</f>
        <v>1</v>
      </c>
      <c r="Q31" s="856">
        <f>'Corrected Internal_Parking B123'!BC36</f>
        <v>164973.00809374996</v>
      </c>
      <c r="R31" s="856">
        <f>'Corrected Internal_Parking B123'!BE36</f>
        <v>991513.71253124985</v>
      </c>
      <c r="S31" s="856">
        <f>'Corrected Internal_Parking B123'!BF36</f>
        <v>8912.0055576093382</v>
      </c>
      <c r="T31" s="856">
        <f>'Corrected Internal_Parking B123'!BG36</f>
        <v>11512.314928641541</v>
      </c>
      <c r="U31" s="856">
        <f>'Corrected Internal_Parking B123'!BH36</f>
        <v>19633.159877310332</v>
      </c>
      <c r="V31" s="710"/>
      <c r="W31" s="861">
        <f>H31-'Corrected Internal_Parking B123'!AT36</f>
        <v>0</v>
      </c>
      <c r="X31" s="861">
        <f>J31-'Corrected Internal_Parking B123'!AU36</f>
        <v>0</v>
      </c>
      <c r="Y31" s="861">
        <f>I31-'Corrected Internal_Parking B123'!AV36</f>
        <v>0</v>
      </c>
      <c r="Z31" s="861">
        <f>K31-'Corrected Internal_Parking B123'!AW36</f>
        <v>0</v>
      </c>
      <c r="AA31" s="862">
        <f>L31-'Corrected Internal_Parking B123'!AX36</f>
        <v>0</v>
      </c>
      <c r="AB31" s="861">
        <f>N31-'Corrected Internal_Parking B123'!AZ36</f>
        <v>0</v>
      </c>
      <c r="AC31" s="861">
        <f>Q31-'Corrected Internal_Parking B123'!BC36</f>
        <v>0</v>
      </c>
    </row>
    <row r="32" spans="1:29" ht="12.75" hidden="1" customHeight="1" x14ac:dyDescent="0.3">
      <c r="A32" s="863" t="str">
        <f t="shared" si="0"/>
        <v>GF-B1-26</v>
      </c>
      <c r="B32" s="864" t="str">
        <f>'Corrected Internal_Parking B123'!CA37</f>
        <v>SOLD</v>
      </c>
      <c r="C32" s="822" t="str">
        <f>'Corrected Internal_Parking B123'!C37</f>
        <v>Building 1</v>
      </c>
      <c r="D32" s="852" t="str">
        <f>'Corrected Internal_Parking B123'!E37</f>
        <v>Ground Floor</v>
      </c>
      <c r="E32" s="853" t="str">
        <f>'Corrected Internal_Parking B123'!F37</f>
        <v>GF-B1-26</v>
      </c>
      <c r="F32" s="854" t="str">
        <f>'Corrected Internal_Parking B123'!G37</f>
        <v>Single Slot</v>
      </c>
      <c r="G32" s="855">
        <f>'Corrected Internal_Parking B123'!H37</f>
        <v>13.5</v>
      </c>
      <c r="H32" s="856">
        <f>'Corrected Internal_Parking B123'!AT37</f>
        <v>831235.921875</v>
      </c>
      <c r="I32" s="857">
        <f>'Corrected Internal_Parking B123'!AV37</f>
        <v>83123.592187500006</v>
      </c>
      <c r="J32" s="858">
        <f>'Corrected Internal_Parking B123'!AU37</f>
        <v>99748.310624999998</v>
      </c>
      <c r="K32" s="855">
        <f>'Corrected Internal_Parking B123'!AW37</f>
        <v>1014107.8246875</v>
      </c>
      <c r="L32" s="859">
        <f>'Corrected Internal_Parking B123'!AX37</f>
        <v>0.15</v>
      </c>
      <c r="M32" s="856">
        <f>'Corrected Internal_Parking B123'!AY37</f>
        <v>152116.17370312501</v>
      </c>
      <c r="N32" s="856">
        <f>'Corrected Internal_Parking B123'!AZ37</f>
        <v>10000</v>
      </c>
      <c r="O32" s="856">
        <f>'Corrected Internal_Parking B123'!BA37</f>
        <v>142116.17370312501</v>
      </c>
      <c r="P32" s="860">
        <f>'Corrected Internal_Parking B123'!BB37</f>
        <v>1</v>
      </c>
      <c r="Q32" s="856">
        <f>'Corrected Internal_Parking B123'!BC37</f>
        <v>142116.17370312501</v>
      </c>
      <c r="R32" s="856">
        <f>'Corrected Internal_Parking B123'!BE37</f>
        <v>861991.65098437504</v>
      </c>
      <c r="S32" s="856">
        <f>'Corrected Internal_Parking B123'!BF37</f>
        <v>7747.8246514351467</v>
      </c>
      <c r="T32" s="856">
        <f>'Corrected Internal_Parking B123'!BG37</f>
        <v>10008.453969494676</v>
      </c>
      <c r="U32" s="856">
        <f>'Corrected Internal_Parking B123'!BH37</f>
        <v>17068.467821265294</v>
      </c>
      <c r="W32" s="861">
        <f>H32-'Corrected Internal_Parking B123'!AT37</f>
        <v>0</v>
      </c>
      <c r="X32" s="861">
        <f>J32-'Corrected Internal_Parking B123'!AU37</f>
        <v>0</v>
      </c>
      <c r="Y32" s="861">
        <f>I32-'Corrected Internal_Parking B123'!AV37</f>
        <v>0</v>
      </c>
      <c r="Z32" s="861">
        <f>K32-'Corrected Internal_Parking B123'!AW37</f>
        <v>0</v>
      </c>
      <c r="AA32" s="862">
        <f>L32-'Corrected Internal_Parking B123'!AX37</f>
        <v>0</v>
      </c>
      <c r="AB32" s="861">
        <f>N32-'Corrected Internal_Parking B123'!AZ37</f>
        <v>0</v>
      </c>
      <c r="AC32" s="861">
        <f>Q32-'Corrected Internal_Parking B123'!BC37</f>
        <v>0</v>
      </c>
    </row>
    <row r="33" spans="1:29" ht="12.75" customHeight="1" x14ac:dyDescent="0.3">
      <c r="A33" s="863" t="str">
        <f t="shared" si="0"/>
        <v>GF-B2-1</v>
      </c>
      <c r="B33" s="864" t="str">
        <f>'Corrected Internal_Parking B123'!CA38</f>
        <v>UNSOLD</v>
      </c>
      <c r="C33" s="822" t="str">
        <f>'Corrected Internal_Parking B123'!C38</f>
        <v>Building 2</v>
      </c>
      <c r="D33" s="852" t="str">
        <f>'Corrected Internal_Parking B123'!E38</f>
        <v>Ground Floor</v>
      </c>
      <c r="E33" s="853" t="str">
        <f>'Corrected Internal_Parking B123'!F38</f>
        <v>GF-B2-1</v>
      </c>
      <c r="F33" s="854" t="str">
        <f>'Corrected Internal_Parking B123'!G38</f>
        <v>Single Slot</v>
      </c>
      <c r="G33" s="855">
        <f>'Corrected Internal_Parking B123'!H38</f>
        <v>13.5</v>
      </c>
      <c r="H33" s="856">
        <f>'Corrected Internal_Parking B123'!AT38</f>
        <v>853546.35144374997</v>
      </c>
      <c r="I33" s="857">
        <f>'Corrected Internal_Parking B123'!AV38</f>
        <v>85354.635144375003</v>
      </c>
      <c r="J33" s="858">
        <f>'Corrected Internal_Parking B123'!AU38</f>
        <v>102425.56217324999</v>
      </c>
      <c r="K33" s="855">
        <f>'Corrected Internal_Parking B123'!AW38</f>
        <v>1041326.548761375</v>
      </c>
      <c r="L33" s="859">
        <f>'Corrected Internal_Parking B123'!AX38</f>
        <v>0.15</v>
      </c>
      <c r="M33" s="856">
        <f>'Corrected Internal_Parking B123'!AY38</f>
        <v>156198.98231420625</v>
      </c>
      <c r="N33" s="856">
        <f>'Corrected Internal_Parking B123'!AZ38</f>
        <v>10000</v>
      </c>
      <c r="O33" s="856">
        <f>'Corrected Internal_Parking B123'!BA38</f>
        <v>146198.98231420625</v>
      </c>
      <c r="P33" s="860">
        <f>'Corrected Internal_Parking B123'!BB38</f>
        <v>18</v>
      </c>
      <c r="Q33" s="856">
        <f>'Corrected Internal_Parking B123'!BC38</f>
        <v>8122.1656841225695</v>
      </c>
      <c r="R33" s="856">
        <f>'Corrected Internal_Parking B123'!BE38</f>
        <v>885127.56644716871</v>
      </c>
      <c r="S33" s="856">
        <f>'Corrected Internal_Parking B123'!BF38</f>
        <v>7955.7768003352539</v>
      </c>
      <c r="T33" s="856">
        <f>'Corrected Internal_Parking B123'!BG38</f>
        <v>10277.081565466236</v>
      </c>
      <c r="U33" s="856">
        <f>'Corrected Internal_Parking B123'!BH38</f>
        <v>17526.586676756811</v>
      </c>
      <c r="W33" s="861">
        <f>H33-'Corrected Internal_Parking B123'!AT38</f>
        <v>0</v>
      </c>
      <c r="X33" s="861">
        <f>J33-'Corrected Internal_Parking B123'!AU38</f>
        <v>0</v>
      </c>
      <c r="Y33" s="861">
        <f>I33-'Corrected Internal_Parking B123'!AV38</f>
        <v>0</v>
      </c>
      <c r="Z33" s="861">
        <f>K33-'Corrected Internal_Parking B123'!AW38</f>
        <v>0</v>
      </c>
      <c r="AA33" s="862">
        <f>L33-'Corrected Internal_Parking B123'!AX38</f>
        <v>0</v>
      </c>
      <c r="AB33" s="861">
        <f>N33-'Corrected Internal_Parking B123'!AZ38</f>
        <v>0</v>
      </c>
      <c r="AC33" s="861">
        <f>Q33-'Corrected Internal_Parking B123'!BC38</f>
        <v>0</v>
      </c>
    </row>
    <row r="34" spans="1:29" ht="12.75" hidden="1" customHeight="1" x14ac:dyDescent="0.3">
      <c r="A34" s="863" t="str">
        <f t="shared" si="0"/>
        <v>GF-B2-2</v>
      </c>
      <c r="B34" s="864" t="str">
        <f>'Corrected Internal_Parking B123'!CA39</f>
        <v>SOLD</v>
      </c>
      <c r="C34" s="822" t="str">
        <f>'Corrected Internal_Parking B123'!C39</f>
        <v>Building 2</v>
      </c>
      <c r="D34" s="852" t="str">
        <f>'Corrected Internal_Parking B123'!E39</f>
        <v>Ground Floor</v>
      </c>
      <c r="E34" s="853" t="str">
        <f>'Corrected Internal_Parking B123'!F39</f>
        <v>GF-B2-2</v>
      </c>
      <c r="F34" s="854" t="str">
        <f>'Corrected Internal_Parking B123'!G39</f>
        <v>Single Slot</v>
      </c>
      <c r="G34" s="855">
        <f>'Corrected Internal_Parking B123'!H39</f>
        <v>13.5</v>
      </c>
      <c r="H34" s="856">
        <f>'Corrected Internal_Parking B123'!AT39</f>
        <v>852770.53125</v>
      </c>
      <c r="I34" s="857">
        <f>'Corrected Internal_Parking B123'!AV39</f>
        <v>85277.053125000006</v>
      </c>
      <c r="J34" s="858">
        <f>'Corrected Internal_Parking B123'!AU39</f>
        <v>102332.46375</v>
      </c>
      <c r="K34" s="855">
        <f>'Corrected Internal_Parking B123'!AW39</f>
        <v>1040380.048125</v>
      </c>
      <c r="L34" s="859">
        <f>'Corrected Internal_Parking B123'!AX39</f>
        <v>0.15</v>
      </c>
      <c r="M34" s="856">
        <f>'Corrected Internal_Parking B123'!AY39</f>
        <v>156057.00721874999</v>
      </c>
      <c r="N34" s="856">
        <f>'Corrected Internal_Parking B123'!AZ39</f>
        <v>10000</v>
      </c>
      <c r="O34" s="856">
        <f>'Corrected Internal_Parking B123'!BA39</f>
        <v>146057.00721874999</v>
      </c>
      <c r="P34" s="860">
        <f>'Corrected Internal_Parking B123'!BB39</f>
        <v>18</v>
      </c>
      <c r="Q34" s="856">
        <f>'Corrected Internal_Parking B123'!BC39</f>
        <v>8114.2781788194443</v>
      </c>
      <c r="R34" s="856">
        <f>'Corrected Internal_Parking B123'!BE39</f>
        <v>884323.04090625001</v>
      </c>
      <c r="S34" s="856">
        <f>'Corrected Internal_Parking B123'!BF39</f>
        <v>7948.5454973272472</v>
      </c>
      <c r="T34" s="856">
        <f>'Corrected Internal_Parking B123'!BG39</f>
        <v>10267.740341761377</v>
      </c>
      <c r="U34" s="856">
        <f>'Corrected Internal_Parking B123'!BH39</f>
        <v>17510.656106790302</v>
      </c>
      <c r="W34" s="861">
        <f>H34-'Corrected Internal_Parking B123'!AT39</f>
        <v>0</v>
      </c>
      <c r="X34" s="861">
        <f>J34-'Corrected Internal_Parking B123'!AU39</f>
        <v>0</v>
      </c>
      <c r="Y34" s="861">
        <f>I34-'Corrected Internal_Parking B123'!AV39</f>
        <v>0</v>
      </c>
      <c r="Z34" s="861">
        <f>K34-'Corrected Internal_Parking B123'!AW39</f>
        <v>0</v>
      </c>
      <c r="AA34" s="862">
        <f>L34-'Corrected Internal_Parking B123'!AX39</f>
        <v>0</v>
      </c>
      <c r="AB34" s="861">
        <f>N34-'Corrected Internal_Parking B123'!AZ39</f>
        <v>0</v>
      </c>
      <c r="AC34" s="861">
        <f>Q34-'Corrected Internal_Parking B123'!BC39</f>
        <v>0</v>
      </c>
    </row>
    <row r="35" spans="1:29" ht="12.75" customHeight="1" x14ac:dyDescent="0.3">
      <c r="A35" s="863" t="str">
        <f t="shared" si="0"/>
        <v>GF-B2-3</v>
      </c>
      <c r="B35" s="864" t="str">
        <f>'Corrected Internal_Parking B123'!CA40</f>
        <v>UNSOLD</v>
      </c>
      <c r="C35" s="822" t="str">
        <f>'Corrected Internal_Parking B123'!C40</f>
        <v>Building 2</v>
      </c>
      <c r="D35" s="852" t="str">
        <f>'Corrected Internal_Parking B123'!E40</f>
        <v>Ground Floor</v>
      </c>
      <c r="E35" s="853" t="str">
        <f>'Corrected Internal_Parking B123'!F40</f>
        <v>GF-B2-3</v>
      </c>
      <c r="F35" s="854" t="str">
        <f>'Corrected Internal_Parking B123'!G40</f>
        <v>Tandem</v>
      </c>
      <c r="G35" s="855">
        <f>'Corrected Internal_Parking B123'!H40</f>
        <v>13.5</v>
      </c>
      <c r="H35" s="856">
        <f>'Corrected Internal_Parking B123'!AT40</f>
        <v>799709.82800624997</v>
      </c>
      <c r="I35" s="857">
        <f>'Corrected Internal_Parking B123'!AV40</f>
        <v>79970.982800625003</v>
      </c>
      <c r="J35" s="858">
        <f>'Corrected Internal_Parking B123'!AU40</f>
        <v>95965.179360749986</v>
      </c>
      <c r="K35" s="855">
        <f>'Corrected Internal_Parking B123'!AW40</f>
        <v>975645.99016762502</v>
      </c>
      <c r="L35" s="859">
        <f>'Corrected Internal_Parking B123'!AX40</f>
        <v>0.15</v>
      </c>
      <c r="M35" s="856">
        <f>'Corrected Internal_Parking B123'!AY40</f>
        <v>146346.89852514374</v>
      </c>
      <c r="N35" s="856">
        <f>'Corrected Internal_Parking B123'!AZ40</f>
        <v>10000</v>
      </c>
      <c r="O35" s="856">
        <f>'Corrected Internal_Parking B123'!BA40</f>
        <v>136346.89852514374</v>
      </c>
      <c r="P35" s="860">
        <f>'Corrected Internal_Parking B123'!BB40</f>
        <v>18</v>
      </c>
      <c r="Q35" s="856">
        <f>'Corrected Internal_Parking B123'!BC40</f>
        <v>7574.8276958413189</v>
      </c>
      <c r="R35" s="856">
        <f>'Corrected Internal_Parking B123'!BE40</f>
        <v>829299.09164248127</v>
      </c>
      <c r="S35" s="856">
        <f>'Corrected Internal_Parking B123'!BF40</f>
        <v>7453.9746856049978</v>
      </c>
      <c r="T35" s="856">
        <f>'Corrected Internal_Parking B123'!BG40</f>
        <v>9628.8656347994838</v>
      </c>
      <c r="U35" s="856">
        <f>'Corrected Internal_Parking B123'!BH40</f>
        <v>16421.115962944295</v>
      </c>
      <c r="W35" s="861">
        <f>H35-'Corrected Internal_Parking B123'!AT40</f>
        <v>0</v>
      </c>
      <c r="X35" s="861">
        <f>J35-'Corrected Internal_Parking B123'!AU40</f>
        <v>0</v>
      </c>
      <c r="Y35" s="861">
        <f>I35-'Corrected Internal_Parking B123'!AV40</f>
        <v>0</v>
      </c>
      <c r="Z35" s="861">
        <f>K35-'Corrected Internal_Parking B123'!AW40</f>
        <v>0</v>
      </c>
      <c r="AA35" s="862">
        <f>L35-'Corrected Internal_Parking B123'!AX40</f>
        <v>0</v>
      </c>
      <c r="AB35" s="861">
        <f>N35-'Corrected Internal_Parking B123'!AZ40</f>
        <v>0</v>
      </c>
      <c r="AC35" s="861">
        <f>Q35-'Corrected Internal_Parking B123'!BC40</f>
        <v>0</v>
      </c>
    </row>
    <row r="36" spans="1:29" ht="12.75" customHeight="1" x14ac:dyDescent="0.3">
      <c r="A36" s="863" t="str">
        <f t="shared" si="0"/>
        <v>GF-B2-4</v>
      </c>
      <c r="B36" s="864" t="str">
        <f>'Corrected Internal_Parking B123'!CA41</f>
        <v>UNSOLD</v>
      </c>
      <c r="C36" s="822" t="str">
        <f>'Corrected Internal_Parking B123'!C41</f>
        <v>Building 2</v>
      </c>
      <c r="D36" s="852" t="str">
        <f>'Corrected Internal_Parking B123'!E41</f>
        <v>Ground Floor</v>
      </c>
      <c r="E36" s="853" t="str">
        <f>'Corrected Internal_Parking B123'!F41</f>
        <v>GF-B2-4</v>
      </c>
      <c r="F36" s="854" t="str">
        <f>'Corrected Internal_Parking B123'!G41</f>
        <v>Tandem</v>
      </c>
      <c r="G36" s="855">
        <f>'Corrected Internal_Parking B123'!H41</f>
        <v>13.5</v>
      </c>
      <c r="H36" s="856">
        <f>'Corrected Internal_Parking B123'!AT41</f>
        <v>799709.82800624997</v>
      </c>
      <c r="I36" s="857">
        <f>'Corrected Internal_Parking B123'!AV41</f>
        <v>79970.982800625003</v>
      </c>
      <c r="J36" s="858">
        <f>'Corrected Internal_Parking B123'!AU41</f>
        <v>95965.179360749986</v>
      </c>
      <c r="K36" s="855">
        <f>'Corrected Internal_Parking B123'!AW41</f>
        <v>975645.99016762502</v>
      </c>
      <c r="L36" s="859">
        <f>'Corrected Internal_Parking B123'!AX41</f>
        <v>0.15</v>
      </c>
      <c r="M36" s="856">
        <f>'Corrected Internal_Parking B123'!AY41</f>
        <v>146346.89852514374</v>
      </c>
      <c r="N36" s="856">
        <f>'Corrected Internal_Parking B123'!AZ41</f>
        <v>10000</v>
      </c>
      <c r="O36" s="856">
        <f>'Corrected Internal_Parking B123'!BA41</f>
        <v>136346.89852514374</v>
      </c>
      <c r="P36" s="860">
        <f>'Corrected Internal_Parking B123'!BB41</f>
        <v>18</v>
      </c>
      <c r="Q36" s="856">
        <f>'Corrected Internal_Parking B123'!BC41</f>
        <v>7574.8276958413189</v>
      </c>
      <c r="R36" s="856">
        <f>'Corrected Internal_Parking B123'!BE41</f>
        <v>829299.09164248127</v>
      </c>
      <c r="S36" s="856">
        <f>'Corrected Internal_Parking B123'!BF41</f>
        <v>7453.9746856049978</v>
      </c>
      <c r="T36" s="856">
        <f>'Corrected Internal_Parking B123'!BG41</f>
        <v>9628.8656347994838</v>
      </c>
      <c r="U36" s="856">
        <f>'Corrected Internal_Parking B123'!BH41</f>
        <v>16421.115962944295</v>
      </c>
      <c r="W36" s="861">
        <f>H36-'Corrected Internal_Parking B123'!AT41</f>
        <v>0</v>
      </c>
      <c r="X36" s="861">
        <f>J36-'Corrected Internal_Parking B123'!AU41</f>
        <v>0</v>
      </c>
      <c r="Y36" s="861">
        <f>I36-'Corrected Internal_Parking B123'!AV41</f>
        <v>0</v>
      </c>
      <c r="Z36" s="861">
        <f>K36-'Corrected Internal_Parking B123'!AW41</f>
        <v>0</v>
      </c>
      <c r="AA36" s="862">
        <f>L36-'Corrected Internal_Parking B123'!AX41</f>
        <v>0</v>
      </c>
      <c r="AB36" s="861">
        <f>N36-'Corrected Internal_Parking B123'!AZ41</f>
        <v>0</v>
      </c>
      <c r="AC36" s="861">
        <f>Q36-'Corrected Internal_Parking B123'!BC41</f>
        <v>0</v>
      </c>
    </row>
    <row r="37" spans="1:29" ht="12.75" customHeight="1" x14ac:dyDescent="0.3">
      <c r="A37" s="863" t="str">
        <f t="shared" si="0"/>
        <v>GF-B2-5</v>
      </c>
      <c r="B37" s="864" t="str">
        <f>'Corrected Internal_Parking B123'!CA42</f>
        <v>UNSOLD</v>
      </c>
      <c r="C37" s="822" t="str">
        <f>'Corrected Internal_Parking B123'!C42</f>
        <v>Building 2</v>
      </c>
      <c r="D37" s="852" t="str">
        <f>'Corrected Internal_Parking B123'!E42</f>
        <v>Ground Floor</v>
      </c>
      <c r="E37" s="853" t="str">
        <f>'Corrected Internal_Parking B123'!F42</f>
        <v>GF-B2-5</v>
      </c>
      <c r="F37" s="854" t="str">
        <f>'Corrected Internal_Parking B123'!G42</f>
        <v>Tandem</v>
      </c>
      <c r="G37" s="855">
        <f>'Corrected Internal_Parking B123'!H42</f>
        <v>13.5</v>
      </c>
      <c r="H37" s="856">
        <f>'Corrected Internal_Parking B123'!AT42</f>
        <v>799709.82800624997</v>
      </c>
      <c r="I37" s="857">
        <f>'Corrected Internal_Parking B123'!AV42</f>
        <v>79970.982800625003</v>
      </c>
      <c r="J37" s="858">
        <f>'Corrected Internal_Parking B123'!AU42</f>
        <v>95965.179360749986</v>
      </c>
      <c r="K37" s="855">
        <f>'Corrected Internal_Parking B123'!AW42</f>
        <v>975645.99016762502</v>
      </c>
      <c r="L37" s="859">
        <f>'Corrected Internal_Parking B123'!AX42</f>
        <v>0.15</v>
      </c>
      <c r="M37" s="856">
        <f>'Corrected Internal_Parking B123'!AY42</f>
        <v>146346.89852514374</v>
      </c>
      <c r="N37" s="856">
        <f>'Corrected Internal_Parking B123'!AZ42</f>
        <v>10000</v>
      </c>
      <c r="O37" s="856">
        <f>'Corrected Internal_Parking B123'!BA42</f>
        <v>136346.89852514374</v>
      </c>
      <c r="P37" s="860">
        <f>'Corrected Internal_Parking B123'!BB42</f>
        <v>18</v>
      </c>
      <c r="Q37" s="856">
        <f>'Corrected Internal_Parking B123'!BC42</f>
        <v>7574.8276958413189</v>
      </c>
      <c r="R37" s="856">
        <f>'Corrected Internal_Parking B123'!BE42</f>
        <v>829299.09164248127</v>
      </c>
      <c r="S37" s="856">
        <f>'Corrected Internal_Parking B123'!BF42</f>
        <v>7453.9746856049978</v>
      </c>
      <c r="T37" s="856">
        <f>'Corrected Internal_Parking B123'!BG42</f>
        <v>9628.8656347994838</v>
      </c>
      <c r="U37" s="856">
        <f>'Corrected Internal_Parking B123'!BH42</f>
        <v>16421.115962944295</v>
      </c>
      <c r="W37" s="861">
        <f>H37-'Corrected Internal_Parking B123'!AT42</f>
        <v>0</v>
      </c>
      <c r="X37" s="861">
        <f>J37-'Corrected Internal_Parking B123'!AU42</f>
        <v>0</v>
      </c>
      <c r="Y37" s="861">
        <f>I37-'Corrected Internal_Parking B123'!AV42</f>
        <v>0</v>
      </c>
      <c r="Z37" s="861">
        <f>K37-'Corrected Internal_Parking B123'!AW42</f>
        <v>0</v>
      </c>
      <c r="AA37" s="862">
        <f>L37-'Corrected Internal_Parking B123'!AX42</f>
        <v>0</v>
      </c>
      <c r="AB37" s="861">
        <f>N37-'Corrected Internal_Parking B123'!AZ42</f>
        <v>0</v>
      </c>
      <c r="AC37" s="861">
        <f>Q37-'Corrected Internal_Parking B123'!BC42</f>
        <v>0</v>
      </c>
    </row>
    <row r="38" spans="1:29" ht="12.75" customHeight="1" x14ac:dyDescent="0.3">
      <c r="A38" s="863" t="str">
        <f t="shared" si="0"/>
        <v>GF-B2-6</v>
      </c>
      <c r="B38" s="864" t="str">
        <f>'Corrected Internal_Parking B123'!CA43</f>
        <v>UNSOLD</v>
      </c>
      <c r="C38" s="822" t="str">
        <f>'Corrected Internal_Parking B123'!C43</f>
        <v>Building 2</v>
      </c>
      <c r="D38" s="852" t="str">
        <f>'Corrected Internal_Parking B123'!E43</f>
        <v>Ground Floor</v>
      </c>
      <c r="E38" s="853" t="str">
        <f>'Corrected Internal_Parking B123'!F43</f>
        <v>GF-B2-6</v>
      </c>
      <c r="F38" s="854" t="str">
        <f>'Corrected Internal_Parking B123'!G43</f>
        <v>Tandem</v>
      </c>
      <c r="G38" s="855">
        <f>'Corrected Internal_Parking B123'!H43</f>
        <v>13.5</v>
      </c>
      <c r="H38" s="856">
        <f>'Corrected Internal_Parking B123'!AT43</f>
        <v>799709.82800624997</v>
      </c>
      <c r="I38" s="857">
        <f>'Corrected Internal_Parking B123'!AV43</f>
        <v>79970.982800625003</v>
      </c>
      <c r="J38" s="858">
        <f>'Corrected Internal_Parking B123'!AU43</f>
        <v>95965.179360749986</v>
      </c>
      <c r="K38" s="855">
        <f>'Corrected Internal_Parking B123'!AW43</f>
        <v>975645.99016762502</v>
      </c>
      <c r="L38" s="859">
        <f>'Corrected Internal_Parking B123'!AX43</f>
        <v>0.15</v>
      </c>
      <c r="M38" s="856">
        <f>'Corrected Internal_Parking B123'!AY43</f>
        <v>146346.89852514374</v>
      </c>
      <c r="N38" s="856">
        <f>'Corrected Internal_Parking B123'!AZ43</f>
        <v>10000</v>
      </c>
      <c r="O38" s="856">
        <f>'Corrected Internal_Parking B123'!BA43</f>
        <v>136346.89852514374</v>
      </c>
      <c r="P38" s="860">
        <f>'Corrected Internal_Parking B123'!BB43</f>
        <v>18</v>
      </c>
      <c r="Q38" s="856">
        <f>'Corrected Internal_Parking B123'!BC43</f>
        <v>7574.8276958413189</v>
      </c>
      <c r="R38" s="856">
        <f>'Corrected Internal_Parking B123'!BE43</f>
        <v>829299.09164248127</v>
      </c>
      <c r="S38" s="856">
        <f>'Corrected Internal_Parking B123'!BF43</f>
        <v>7453.9746856049978</v>
      </c>
      <c r="T38" s="856">
        <f>'Corrected Internal_Parking B123'!BG43</f>
        <v>9628.8656347994838</v>
      </c>
      <c r="U38" s="856">
        <f>'Corrected Internal_Parking B123'!BH43</f>
        <v>16421.115962944295</v>
      </c>
      <c r="W38" s="861">
        <f>H38-'Corrected Internal_Parking B123'!AT43</f>
        <v>0</v>
      </c>
      <c r="X38" s="861">
        <f>J38-'Corrected Internal_Parking B123'!AU43</f>
        <v>0</v>
      </c>
      <c r="Y38" s="861">
        <f>I38-'Corrected Internal_Parking B123'!AV43</f>
        <v>0</v>
      </c>
      <c r="Z38" s="861">
        <f>K38-'Corrected Internal_Parking B123'!AW43</f>
        <v>0</v>
      </c>
      <c r="AA38" s="862">
        <f>L38-'Corrected Internal_Parking B123'!AX43</f>
        <v>0</v>
      </c>
      <c r="AB38" s="861">
        <f>N38-'Corrected Internal_Parking B123'!AZ43</f>
        <v>0</v>
      </c>
      <c r="AC38" s="861">
        <f>Q38-'Corrected Internal_Parking B123'!BC43</f>
        <v>0</v>
      </c>
    </row>
    <row r="39" spans="1:29" ht="12.75" customHeight="1" x14ac:dyDescent="0.3">
      <c r="A39" s="863" t="str">
        <f t="shared" si="0"/>
        <v>GF-B2-7</v>
      </c>
      <c r="B39" s="864" t="str">
        <f>'Corrected Internal_Parking B123'!CA44</f>
        <v>UNSOLD</v>
      </c>
      <c r="C39" s="822" t="str">
        <f>'Corrected Internal_Parking B123'!C44</f>
        <v>Building 2</v>
      </c>
      <c r="D39" s="852" t="str">
        <f>'Corrected Internal_Parking B123'!E44</f>
        <v>Ground Floor</v>
      </c>
      <c r="E39" s="853" t="str">
        <f>'Corrected Internal_Parking B123'!F44</f>
        <v>GF-B2-7</v>
      </c>
      <c r="F39" s="854" t="str">
        <f>'Corrected Internal_Parking B123'!G44</f>
        <v>Tandem</v>
      </c>
      <c r="G39" s="855">
        <f>'Corrected Internal_Parking B123'!H44</f>
        <v>13.5</v>
      </c>
      <c r="H39" s="856">
        <f>'Corrected Internal_Parking B123'!AT44</f>
        <v>799709.82800624997</v>
      </c>
      <c r="I39" s="857">
        <f>'Corrected Internal_Parking B123'!AV44</f>
        <v>79970.982800625003</v>
      </c>
      <c r="J39" s="858">
        <f>'Corrected Internal_Parking B123'!AU44</f>
        <v>95965.179360749986</v>
      </c>
      <c r="K39" s="855">
        <f>'Corrected Internal_Parking B123'!AW44</f>
        <v>975645.99016762502</v>
      </c>
      <c r="L39" s="859">
        <f>'Corrected Internal_Parking B123'!AX44</f>
        <v>0.15</v>
      </c>
      <c r="M39" s="856">
        <f>'Corrected Internal_Parking B123'!AY44</f>
        <v>146346.89852514374</v>
      </c>
      <c r="N39" s="856">
        <f>'Corrected Internal_Parking B123'!AZ44</f>
        <v>10000</v>
      </c>
      <c r="O39" s="856">
        <f>'Corrected Internal_Parking B123'!BA44</f>
        <v>136346.89852514374</v>
      </c>
      <c r="P39" s="860">
        <f>'Corrected Internal_Parking B123'!BB44</f>
        <v>18</v>
      </c>
      <c r="Q39" s="856">
        <f>'Corrected Internal_Parking B123'!BC44</f>
        <v>7574.8276958413189</v>
      </c>
      <c r="R39" s="856">
        <f>'Corrected Internal_Parking B123'!BE44</f>
        <v>829299.09164248127</v>
      </c>
      <c r="S39" s="856">
        <f>'Corrected Internal_Parking B123'!BF44</f>
        <v>7453.9746856049978</v>
      </c>
      <c r="T39" s="856">
        <f>'Corrected Internal_Parking B123'!BG44</f>
        <v>9628.8656347994838</v>
      </c>
      <c r="U39" s="856">
        <f>'Corrected Internal_Parking B123'!BH44</f>
        <v>16421.115962944295</v>
      </c>
      <c r="W39" s="861">
        <f>H39-'Corrected Internal_Parking B123'!AT44</f>
        <v>0</v>
      </c>
      <c r="X39" s="861">
        <f>J39-'Corrected Internal_Parking B123'!AU44</f>
        <v>0</v>
      </c>
      <c r="Y39" s="861">
        <f>I39-'Corrected Internal_Parking B123'!AV44</f>
        <v>0</v>
      </c>
      <c r="Z39" s="861">
        <f>K39-'Corrected Internal_Parking B123'!AW44</f>
        <v>0</v>
      </c>
      <c r="AA39" s="862">
        <f>L39-'Corrected Internal_Parking B123'!AX44</f>
        <v>0</v>
      </c>
      <c r="AB39" s="861">
        <f>N39-'Corrected Internal_Parking B123'!AZ44</f>
        <v>0</v>
      </c>
      <c r="AC39" s="861">
        <f>Q39-'Corrected Internal_Parking B123'!BC44</f>
        <v>0</v>
      </c>
    </row>
    <row r="40" spans="1:29" ht="12.75" customHeight="1" x14ac:dyDescent="0.3">
      <c r="A40" s="863" t="str">
        <f t="shared" si="0"/>
        <v>GF-B2-8</v>
      </c>
      <c r="B40" s="864" t="str">
        <f>'Corrected Internal_Parking B123'!CA45</f>
        <v>UNSOLD</v>
      </c>
      <c r="C40" s="822" t="str">
        <f>'Corrected Internal_Parking B123'!C45</f>
        <v>Building 2</v>
      </c>
      <c r="D40" s="852" t="str">
        <f>'Corrected Internal_Parking B123'!E45</f>
        <v>Ground Floor</v>
      </c>
      <c r="E40" s="853" t="str">
        <f>'Corrected Internal_Parking B123'!F45</f>
        <v>GF-B2-8</v>
      </c>
      <c r="F40" s="854" t="str">
        <f>'Corrected Internal_Parking B123'!G45</f>
        <v>Tandem</v>
      </c>
      <c r="G40" s="855">
        <f>'Corrected Internal_Parking B123'!H45</f>
        <v>13.5</v>
      </c>
      <c r="H40" s="856">
        <f>'Corrected Internal_Parking B123'!AT45</f>
        <v>799709.82800624997</v>
      </c>
      <c r="I40" s="857">
        <f>'Corrected Internal_Parking B123'!AV45</f>
        <v>79970.982800625003</v>
      </c>
      <c r="J40" s="858">
        <f>'Corrected Internal_Parking B123'!AU45</f>
        <v>95965.179360749986</v>
      </c>
      <c r="K40" s="855">
        <f>'Corrected Internal_Parking B123'!AW45</f>
        <v>975645.99016762502</v>
      </c>
      <c r="L40" s="859">
        <f>'Corrected Internal_Parking B123'!AX45</f>
        <v>0.15</v>
      </c>
      <c r="M40" s="856">
        <f>'Corrected Internal_Parking B123'!AY45</f>
        <v>146346.89852514374</v>
      </c>
      <c r="N40" s="856">
        <f>'Corrected Internal_Parking B123'!AZ45</f>
        <v>10000</v>
      </c>
      <c r="O40" s="856">
        <f>'Corrected Internal_Parking B123'!BA45</f>
        <v>136346.89852514374</v>
      </c>
      <c r="P40" s="860">
        <f>'Corrected Internal_Parking B123'!BB45</f>
        <v>18</v>
      </c>
      <c r="Q40" s="856">
        <f>'Corrected Internal_Parking B123'!BC45</f>
        <v>7574.8276958413189</v>
      </c>
      <c r="R40" s="856">
        <f>'Corrected Internal_Parking B123'!BE45</f>
        <v>829299.09164248127</v>
      </c>
      <c r="S40" s="856">
        <f>'Corrected Internal_Parking B123'!BF45</f>
        <v>7453.9746856049978</v>
      </c>
      <c r="T40" s="856">
        <f>'Corrected Internal_Parking B123'!BG45</f>
        <v>9628.8656347994838</v>
      </c>
      <c r="U40" s="856">
        <f>'Corrected Internal_Parking B123'!BH45</f>
        <v>16421.115962944295</v>
      </c>
      <c r="W40" s="861">
        <f>H40-'Corrected Internal_Parking B123'!AT45</f>
        <v>0</v>
      </c>
      <c r="X40" s="861">
        <f>J40-'Corrected Internal_Parking B123'!AU45</f>
        <v>0</v>
      </c>
      <c r="Y40" s="861">
        <f>I40-'Corrected Internal_Parking B123'!AV45</f>
        <v>0</v>
      </c>
      <c r="Z40" s="861">
        <f>K40-'Corrected Internal_Parking B123'!AW45</f>
        <v>0</v>
      </c>
      <c r="AA40" s="862">
        <f>L40-'Corrected Internal_Parking B123'!AX45</f>
        <v>0</v>
      </c>
      <c r="AB40" s="861">
        <f>N40-'Corrected Internal_Parking B123'!AZ45</f>
        <v>0</v>
      </c>
      <c r="AC40" s="861">
        <f>Q40-'Corrected Internal_Parking B123'!BC45</f>
        <v>0</v>
      </c>
    </row>
    <row r="41" spans="1:29" ht="12.75" customHeight="1" x14ac:dyDescent="0.3">
      <c r="A41" s="863" t="str">
        <f t="shared" si="0"/>
        <v>GF-B2-9</v>
      </c>
      <c r="B41" s="864" t="str">
        <f>'Corrected Internal_Parking B123'!CA46</f>
        <v>UNSOLD</v>
      </c>
      <c r="C41" s="822" t="str">
        <f>'Corrected Internal_Parking B123'!C46</f>
        <v>Building 2</v>
      </c>
      <c r="D41" s="852" t="str">
        <f>'Corrected Internal_Parking B123'!E46</f>
        <v>Ground Floor</v>
      </c>
      <c r="E41" s="853" t="str">
        <f>'Corrected Internal_Parking B123'!F46</f>
        <v>GF-B2-9</v>
      </c>
      <c r="F41" s="854" t="str">
        <f>'Corrected Internal_Parking B123'!G46</f>
        <v>Tandem</v>
      </c>
      <c r="G41" s="855">
        <f>'Corrected Internal_Parking B123'!H46</f>
        <v>13.5</v>
      </c>
      <c r="H41" s="856">
        <f>'Corrected Internal_Parking B123'!AT46</f>
        <v>799709.82800624997</v>
      </c>
      <c r="I41" s="857">
        <f>'Corrected Internal_Parking B123'!AV46</f>
        <v>79970.982800625003</v>
      </c>
      <c r="J41" s="858">
        <f>'Corrected Internal_Parking B123'!AU46</f>
        <v>95965.179360749986</v>
      </c>
      <c r="K41" s="855">
        <f>'Corrected Internal_Parking B123'!AW46</f>
        <v>975645.99016762502</v>
      </c>
      <c r="L41" s="859">
        <f>'Corrected Internal_Parking B123'!AX46</f>
        <v>0.15</v>
      </c>
      <c r="M41" s="856">
        <f>'Corrected Internal_Parking B123'!AY46</f>
        <v>146346.89852514374</v>
      </c>
      <c r="N41" s="856">
        <f>'Corrected Internal_Parking B123'!AZ46</f>
        <v>10000</v>
      </c>
      <c r="O41" s="856">
        <f>'Corrected Internal_Parking B123'!BA46</f>
        <v>136346.89852514374</v>
      </c>
      <c r="P41" s="860">
        <f>'Corrected Internal_Parking B123'!BB46</f>
        <v>18</v>
      </c>
      <c r="Q41" s="856">
        <f>'Corrected Internal_Parking B123'!BC46</f>
        <v>7574.8276958413189</v>
      </c>
      <c r="R41" s="856">
        <f>'Corrected Internal_Parking B123'!BE46</f>
        <v>829299.09164248127</v>
      </c>
      <c r="S41" s="856">
        <f>'Corrected Internal_Parking B123'!BF46</f>
        <v>7453.9746856049978</v>
      </c>
      <c r="T41" s="856">
        <f>'Corrected Internal_Parking B123'!BG46</f>
        <v>9628.8656347994838</v>
      </c>
      <c r="U41" s="856">
        <f>'Corrected Internal_Parking B123'!BH46</f>
        <v>16421.115962944295</v>
      </c>
      <c r="W41" s="861">
        <f>H41-'Corrected Internal_Parking B123'!AT46</f>
        <v>0</v>
      </c>
      <c r="X41" s="861">
        <f>J41-'Corrected Internal_Parking B123'!AU46</f>
        <v>0</v>
      </c>
      <c r="Y41" s="861">
        <f>I41-'Corrected Internal_Parking B123'!AV46</f>
        <v>0</v>
      </c>
      <c r="Z41" s="861">
        <f>K41-'Corrected Internal_Parking B123'!AW46</f>
        <v>0</v>
      </c>
      <c r="AA41" s="862">
        <f>L41-'Corrected Internal_Parking B123'!AX46</f>
        <v>0</v>
      </c>
      <c r="AB41" s="861">
        <f>N41-'Corrected Internal_Parking B123'!AZ46</f>
        <v>0</v>
      </c>
      <c r="AC41" s="861">
        <f>Q41-'Corrected Internal_Parking B123'!BC46</f>
        <v>0</v>
      </c>
    </row>
    <row r="42" spans="1:29" ht="12.75" customHeight="1" x14ac:dyDescent="0.3">
      <c r="A42" s="863" t="str">
        <f t="shared" si="0"/>
        <v>GF-B2-10</v>
      </c>
      <c r="B42" s="864" t="str">
        <f>'Corrected Internal_Parking B123'!CA47</f>
        <v>UNSOLD</v>
      </c>
      <c r="C42" s="822" t="str">
        <f>'Corrected Internal_Parking B123'!C47</f>
        <v>Building 2</v>
      </c>
      <c r="D42" s="852" t="str">
        <f>'Corrected Internal_Parking B123'!E47</f>
        <v>Ground Floor</v>
      </c>
      <c r="E42" s="853" t="str">
        <f>'Corrected Internal_Parking B123'!F47</f>
        <v>GF-B2-10</v>
      </c>
      <c r="F42" s="854" t="str">
        <f>'Corrected Internal_Parking B123'!G47</f>
        <v>Tandem</v>
      </c>
      <c r="G42" s="855">
        <f>'Corrected Internal_Parking B123'!H47</f>
        <v>13.5</v>
      </c>
      <c r="H42" s="856">
        <f>'Corrected Internal_Parking B123'!AT47</f>
        <v>799709.82800624997</v>
      </c>
      <c r="I42" s="857">
        <f>'Corrected Internal_Parking B123'!AV47</f>
        <v>79970.982800625003</v>
      </c>
      <c r="J42" s="858">
        <f>'Corrected Internal_Parking B123'!AU47</f>
        <v>95965.179360749986</v>
      </c>
      <c r="K42" s="855">
        <f>'Corrected Internal_Parking B123'!AW47</f>
        <v>975645.99016762502</v>
      </c>
      <c r="L42" s="859">
        <f>'Corrected Internal_Parking B123'!AX47</f>
        <v>0.15</v>
      </c>
      <c r="M42" s="856">
        <f>'Corrected Internal_Parking B123'!AY47</f>
        <v>146346.89852514374</v>
      </c>
      <c r="N42" s="856">
        <f>'Corrected Internal_Parking B123'!AZ47</f>
        <v>10000</v>
      </c>
      <c r="O42" s="856">
        <f>'Corrected Internal_Parking B123'!BA47</f>
        <v>136346.89852514374</v>
      </c>
      <c r="P42" s="860">
        <f>'Corrected Internal_Parking B123'!BB47</f>
        <v>18</v>
      </c>
      <c r="Q42" s="856">
        <f>'Corrected Internal_Parking B123'!BC47</f>
        <v>7574.8276958413189</v>
      </c>
      <c r="R42" s="856">
        <f>'Corrected Internal_Parking B123'!BE47</f>
        <v>829299.09164248127</v>
      </c>
      <c r="S42" s="856">
        <f>'Corrected Internal_Parking B123'!BF47</f>
        <v>7453.9746856049978</v>
      </c>
      <c r="T42" s="856">
        <f>'Corrected Internal_Parking B123'!BG47</f>
        <v>9628.8656347994838</v>
      </c>
      <c r="U42" s="856">
        <f>'Corrected Internal_Parking B123'!BH47</f>
        <v>16421.115962944295</v>
      </c>
      <c r="W42" s="861">
        <f>H42-'Corrected Internal_Parking B123'!AT47</f>
        <v>0</v>
      </c>
      <c r="X42" s="861">
        <f>J42-'Corrected Internal_Parking B123'!AU47</f>
        <v>0</v>
      </c>
      <c r="Y42" s="861">
        <f>I42-'Corrected Internal_Parking B123'!AV47</f>
        <v>0</v>
      </c>
      <c r="Z42" s="861">
        <f>K42-'Corrected Internal_Parking B123'!AW47</f>
        <v>0</v>
      </c>
      <c r="AA42" s="862">
        <f>L42-'Corrected Internal_Parking B123'!AX47</f>
        <v>0</v>
      </c>
      <c r="AB42" s="861">
        <f>N42-'Corrected Internal_Parking B123'!AZ47</f>
        <v>0</v>
      </c>
      <c r="AC42" s="861">
        <f>Q42-'Corrected Internal_Parking B123'!BC47</f>
        <v>0</v>
      </c>
    </row>
    <row r="43" spans="1:29" x14ac:dyDescent="0.3">
      <c r="A43" s="863" t="str">
        <f t="shared" si="0"/>
        <v>GF-B2-11</v>
      </c>
      <c r="B43" s="864" t="str">
        <f>'Corrected Internal_Parking B123'!CA48</f>
        <v>UNSOLD</v>
      </c>
      <c r="C43" s="822" t="str">
        <f>'Corrected Internal_Parking B123'!C48</f>
        <v>Building 2</v>
      </c>
      <c r="D43" s="852" t="str">
        <f>'Corrected Internal_Parking B123'!E48</f>
        <v>Ground Floor</v>
      </c>
      <c r="E43" s="853" t="str">
        <f>'Corrected Internal_Parking B123'!F48</f>
        <v>GF-B2-11</v>
      </c>
      <c r="F43" s="854" t="str">
        <f>'Corrected Internal_Parking B123'!G48</f>
        <v>Tandem</v>
      </c>
      <c r="G43" s="855">
        <f>'Corrected Internal_Parking B123'!H48</f>
        <v>13.5</v>
      </c>
      <c r="H43" s="856">
        <f>'Corrected Internal_Parking B123'!AT48</f>
        <v>799709.82800624997</v>
      </c>
      <c r="I43" s="857">
        <f>'Corrected Internal_Parking B123'!AV48</f>
        <v>79970.982800625003</v>
      </c>
      <c r="J43" s="858">
        <f>'Corrected Internal_Parking B123'!AU48</f>
        <v>95965.179360749986</v>
      </c>
      <c r="K43" s="855">
        <f>'Corrected Internal_Parking B123'!AW48</f>
        <v>975645.99016762502</v>
      </c>
      <c r="L43" s="859">
        <f>'Corrected Internal_Parking B123'!AX48</f>
        <v>0.15</v>
      </c>
      <c r="M43" s="856">
        <f>'Corrected Internal_Parking B123'!AY48</f>
        <v>146346.89852514374</v>
      </c>
      <c r="N43" s="856">
        <f>'Corrected Internal_Parking B123'!AZ48</f>
        <v>10000</v>
      </c>
      <c r="O43" s="856">
        <f>'Corrected Internal_Parking B123'!BA48</f>
        <v>136346.89852514374</v>
      </c>
      <c r="P43" s="860">
        <f>'Corrected Internal_Parking B123'!BB48</f>
        <v>18</v>
      </c>
      <c r="Q43" s="856">
        <f>'Corrected Internal_Parking B123'!BC48</f>
        <v>7574.8276958413189</v>
      </c>
      <c r="R43" s="856">
        <f>'Corrected Internal_Parking B123'!BE48</f>
        <v>829299.09164248127</v>
      </c>
      <c r="S43" s="856">
        <f>'Corrected Internal_Parking B123'!BF48</f>
        <v>7453.9746856049978</v>
      </c>
      <c r="T43" s="856">
        <f>'Corrected Internal_Parking B123'!BG48</f>
        <v>9628.8656347994838</v>
      </c>
      <c r="U43" s="856">
        <f>'Corrected Internal_Parking B123'!BH48</f>
        <v>16421.115962944295</v>
      </c>
      <c r="W43" s="861">
        <f>H43-'Corrected Internal_Parking B123'!AT48</f>
        <v>0</v>
      </c>
      <c r="X43" s="861">
        <f>J43-'Corrected Internal_Parking B123'!AU48</f>
        <v>0</v>
      </c>
      <c r="Y43" s="861">
        <f>I43-'Corrected Internal_Parking B123'!AV48</f>
        <v>0</v>
      </c>
      <c r="Z43" s="861">
        <f>K43-'Corrected Internal_Parking B123'!AW48</f>
        <v>0</v>
      </c>
      <c r="AA43" s="862">
        <f>L43-'Corrected Internal_Parking B123'!AX48</f>
        <v>0</v>
      </c>
      <c r="AB43" s="861">
        <f>N43-'Corrected Internal_Parking B123'!AZ48</f>
        <v>0</v>
      </c>
      <c r="AC43" s="861">
        <f>Q43-'Corrected Internal_Parking B123'!BC48</f>
        <v>0</v>
      </c>
    </row>
    <row r="44" spans="1:29" ht="12.75" customHeight="1" x14ac:dyDescent="0.3">
      <c r="A44" s="863" t="str">
        <f t="shared" si="0"/>
        <v>GF-B2-12</v>
      </c>
      <c r="B44" s="864" t="str">
        <f>'Corrected Internal_Parking B123'!CA49</f>
        <v>UNSOLD</v>
      </c>
      <c r="C44" s="822" t="str">
        <f>'Corrected Internal_Parking B123'!C49</f>
        <v>Building 2</v>
      </c>
      <c r="D44" s="852" t="str">
        <f>'Corrected Internal_Parking B123'!E49</f>
        <v>Ground Floor</v>
      </c>
      <c r="E44" s="853" t="str">
        <f>'Corrected Internal_Parking B123'!F49</f>
        <v>GF-B2-12</v>
      </c>
      <c r="F44" s="854" t="str">
        <f>'Corrected Internal_Parking B123'!G49</f>
        <v>Tandem</v>
      </c>
      <c r="G44" s="855">
        <f>'Corrected Internal_Parking B123'!H49</f>
        <v>13.5</v>
      </c>
      <c r="H44" s="856">
        <f>'Corrected Internal_Parking B123'!AT49</f>
        <v>799709.82800624997</v>
      </c>
      <c r="I44" s="857">
        <f>'Corrected Internal_Parking B123'!AV49</f>
        <v>79970.982800625003</v>
      </c>
      <c r="J44" s="858">
        <f>'Corrected Internal_Parking B123'!AU49</f>
        <v>95965.179360749986</v>
      </c>
      <c r="K44" s="855">
        <f>'Corrected Internal_Parking B123'!AW49</f>
        <v>975645.99016762502</v>
      </c>
      <c r="L44" s="859">
        <f>'Corrected Internal_Parking B123'!AX49</f>
        <v>0.15</v>
      </c>
      <c r="M44" s="856">
        <f>'Corrected Internal_Parking B123'!AY49</f>
        <v>146346.89852514374</v>
      </c>
      <c r="N44" s="856">
        <f>'Corrected Internal_Parking B123'!AZ49</f>
        <v>10000</v>
      </c>
      <c r="O44" s="856">
        <f>'Corrected Internal_Parking B123'!BA49</f>
        <v>136346.89852514374</v>
      </c>
      <c r="P44" s="860">
        <f>'Corrected Internal_Parking B123'!BB49</f>
        <v>18</v>
      </c>
      <c r="Q44" s="856">
        <f>'Corrected Internal_Parking B123'!BC49</f>
        <v>7574.8276958413189</v>
      </c>
      <c r="R44" s="856">
        <f>'Corrected Internal_Parking B123'!BE49</f>
        <v>829299.09164248127</v>
      </c>
      <c r="S44" s="856">
        <f>'Corrected Internal_Parking B123'!BF49</f>
        <v>7453.9746856049978</v>
      </c>
      <c r="T44" s="856">
        <f>'Corrected Internal_Parking B123'!BG49</f>
        <v>9628.8656347994838</v>
      </c>
      <c r="U44" s="856">
        <f>'Corrected Internal_Parking B123'!BH49</f>
        <v>16421.115962944295</v>
      </c>
      <c r="W44" s="861">
        <f>H44-'Corrected Internal_Parking B123'!AT49</f>
        <v>0</v>
      </c>
      <c r="X44" s="861">
        <f>J44-'Corrected Internal_Parking B123'!AU49</f>
        <v>0</v>
      </c>
      <c r="Y44" s="861">
        <f>I44-'Corrected Internal_Parking B123'!AV49</f>
        <v>0</v>
      </c>
      <c r="Z44" s="861">
        <f>K44-'Corrected Internal_Parking B123'!AW49</f>
        <v>0</v>
      </c>
      <c r="AA44" s="862">
        <f>L44-'Corrected Internal_Parking B123'!AX49</f>
        <v>0</v>
      </c>
      <c r="AB44" s="861">
        <f>N44-'Corrected Internal_Parking B123'!AZ49</f>
        <v>0</v>
      </c>
      <c r="AC44" s="861">
        <f>Q44-'Corrected Internal_Parking B123'!BC49</f>
        <v>0</v>
      </c>
    </row>
    <row r="45" spans="1:29" ht="12.75" customHeight="1" x14ac:dyDescent="0.3">
      <c r="A45" s="863" t="str">
        <f t="shared" si="0"/>
        <v>GF-B2-13</v>
      </c>
      <c r="B45" s="864" t="str">
        <f>'Corrected Internal_Parking B123'!CA50</f>
        <v>UNSOLD</v>
      </c>
      <c r="C45" s="822" t="str">
        <f>'Corrected Internal_Parking B123'!C50</f>
        <v>Building 2</v>
      </c>
      <c r="D45" s="852" t="str">
        <f>'Corrected Internal_Parking B123'!E50</f>
        <v>Ground Floor</v>
      </c>
      <c r="E45" s="853" t="str">
        <f>'Corrected Internal_Parking B123'!F50</f>
        <v>GF-B2-13</v>
      </c>
      <c r="F45" s="854" t="str">
        <f>'Corrected Internal_Parking B123'!G50</f>
        <v>Tandem</v>
      </c>
      <c r="G45" s="855">
        <f>'Corrected Internal_Parking B123'!H50</f>
        <v>13.5</v>
      </c>
      <c r="H45" s="856">
        <f>'Corrected Internal_Parking B123'!AT50</f>
        <v>799709.82800624997</v>
      </c>
      <c r="I45" s="857">
        <f>'Corrected Internal_Parking B123'!AV50</f>
        <v>79970.982800625003</v>
      </c>
      <c r="J45" s="858">
        <f>'Corrected Internal_Parking B123'!AU50</f>
        <v>95965.179360749986</v>
      </c>
      <c r="K45" s="855">
        <f>'Corrected Internal_Parking B123'!AW50</f>
        <v>975645.99016762502</v>
      </c>
      <c r="L45" s="859">
        <f>'Corrected Internal_Parking B123'!AX50</f>
        <v>0.15</v>
      </c>
      <c r="M45" s="856">
        <f>'Corrected Internal_Parking B123'!AY50</f>
        <v>146346.89852514374</v>
      </c>
      <c r="N45" s="856">
        <f>'Corrected Internal_Parking B123'!AZ50</f>
        <v>10000</v>
      </c>
      <c r="O45" s="856">
        <f>'Corrected Internal_Parking B123'!BA50</f>
        <v>136346.89852514374</v>
      </c>
      <c r="P45" s="860">
        <f>'Corrected Internal_Parking B123'!BB50</f>
        <v>18</v>
      </c>
      <c r="Q45" s="856">
        <f>'Corrected Internal_Parking B123'!BC50</f>
        <v>7574.8276958413189</v>
      </c>
      <c r="R45" s="856">
        <f>'Corrected Internal_Parking B123'!BE50</f>
        <v>829299.09164248127</v>
      </c>
      <c r="S45" s="856">
        <f>'Corrected Internal_Parking B123'!BF50</f>
        <v>7453.9746856049978</v>
      </c>
      <c r="T45" s="856">
        <f>'Corrected Internal_Parking B123'!BG50</f>
        <v>9628.8656347994838</v>
      </c>
      <c r="U45" s="856">
        <f>'Corrected Internal_Parking B123'!BH50</f>
        <v>16421.115962944295</v>
      </c>
      <c r="W45" s="861">
        <f>H45-'Corrected Internal_Parking B123'!AT50</f>
        <v>0</v>
      </c>
      <c r="X45" s="861">
        <f>J45-'Corrected Internal_Parking B123'!AU50</f>
        <v>0</v>
      </c>
      <c r="Y45" s="861">
        <f>I45-'Corrected Internal_Parking B123'!AV50</f>
        <v>0</v>
      </c>
      <c r="Z45" s="861">
        <f>K45-'Corrected Internal_Parking B123'!AW50</f>
        <v>0</v>
      </c>
      <c r="AA45" s="862">
        <f>L45-'Corrected Internal_Parking B123'!AX50</f>
        <v>0</v>
      </c>
      <c r="AB45" s="861">
        <f>N45-'Corrected Internal_Parking B123'!AZ50</f>
        <v>0</v>
      </c>
      <c r="AC45" s="861">
        <f>Q45-'Corrected Internal_Parking B123'!BC50</f>
        <v>0</v>
      </c>
    </row>
    <row r="46" spans="1:29" ht="12.75" customHeight="1" x14ac:dyDescent="0.3">
      <c r="A46" s="863" t="str">
        <f t="shared" si="0"/>
        <v>GF-B2-14</v>
      </c>
      <c r="B46" s="864" t="str">
        <f>'Corrected Internal_Parking B123'!CA51</f>
        <v>UNSOLD</v>
      </c>
      <c r="C46" s="822" t="str">
        <f>'Corrected Internal_Parking B123'!C51</f>
        <v>Building 2</v>
      </c>
      <c r="D46" s="852" t="str">
        <f>'Corrected Internal_Parking B123'!E51</f>
        <v>Ground Floor</v>
      </c>
      <c r="E46" s="853" t="str">
        <f>'Corrected Internal_Parking B123'!F51</f>
        <v>GF-B2-14</v>
      </c>
      <c r="F46" s="854" t="str">
        <f>'Corrected Internal_Parking B123'!G51</f>
        <v>Tandem</v>
      </c>
      <c r="G46" s="855">
        <f>'Corrected Internal_Parking B123'!H51</f>
        <v>13.5</v>
      </c>
      <c r="H46" s="856">
        <f>'Corrected Internal_Parking B123'!AT51</f>
        <v>798934.0078125</v>
      </c>
      <c r="I46" s="857">
        <f>'Corrected Internal_Parking B123'!AV51</f>
        <v>79893.400781250006</v>
      </c>
      <c r="J46" s="858">
        <f>'Corrected Internal_Parking B123'!AU51</f>
        <v>95872.080937499995</v>
      </c>
      <c r="K46" s="855">
        <f>'Corrected Internal_Parking B123'!AW51</f>
        <v>974699.48953124997</v>
      </c>
      <c r="L46" s="859">
        <f>'Corrected Internal_Parking B123'!AX51</f>
        <v>0.15</v>
      </c>
      <c r="M46" s="856">
        <f>'Corrected Internal_Parking B123'!AY51</f>
        <v>146204.92342968748</v>
      </c>
      <c r="N46" s="856">
        <f>'Corrected Internal_Parking B123'!AZ51</f>
        <v>10000</v>
      </c>
      <c r="O46" s="856">
        <f>'Corrected Internal_Parking B123'!BA51</f>
        <v>136204.92342968748</v>
      </c>
      <c r="P46" s="860">
        <f>'Corrected Internal_Parking B123'!BB51</f>
        <v>18</v>
      </c>
      <c r="Q46" s="856">
        <f>'Corrected Internal_Parking B123'!BC51</f>
        <v>7566.9401905381928</v>
      </c>
      <c r="R46" s="856">
        <f>'Corrected Internal_Parking B123'!BE51</f>
        <v>828494.56610156246</v>
      </c>
      <c r="S46" s="856">
        <f>'Corrected Internal_Parking B123'!BF51</f>
        <v>7446.743382596992</v>
      </c>
      <c r="T46" s="856">
        <f>'Corrected Internal_Parking B123'!BG51</f>
        <v>9619.5244110946223</v>
      </c>
      <c r="U46" s="856">
        <f>'Corrected Internal_Parking B123'!BH51</f>
        <v>16405.185392977779</v>
      </c>
      <c r="W46" s="861">
        <f>H46-'Corrected Internal_Parking B123'!AT51</f>
        <v>0</v>
      </c>
      <c r="X46" s="861">
        <f>J46-'Corrected Internal_Parking B123'!AU51</f>
        <v>0</v>
      </c>
      <c r="Y46" s="861">
        <f>I46-'Corrected Internal_Parking B123'!AV51</f>
        <v>0</v>
      </c>
      <c r="Z46" s="861">
        <f>K46-'Corrected Internal_Parking B123'!AW51</f>
        <v>0</v>
      </c>
      <c r="AA46" s="862">
        <f>L46-'Corrected Internal_Parking B123'!AX51</f>
        <v>0</v>
      </c>
      <c r="AB46" s="861">
        <f>N46-'Corrected Internal_Parking B123'!AZ51</f>
        <v>0</v>
      </c>
      <c r="AC46" s="861">
        <f>Q46-'Corrected Internal_Parking B123'!BC51</f>
        <v>0</v>
      </c>
    </row>
    <row r="47" spans="1:29" ht="12.75" customHeight="1" x14ac:dyDescent="0.3">
      <c r="A47" s="863" t="str">
        <f t="shared" si="0"/>
        <v>GF-B2-15</v>
      </c>
      <c r="B47" s="864" t="str">
        <f>'Corrected Internal_Parking B123'!CA52</f>
        <v>UNSOLD</v>
      </c>
      <c r="C47" s="822" t="str">
        <f>'Corrected Internal_Parking B123'!C52</f>
        <v>Building 2</v>
      </c>
      <c r="D47" s="852" t="str">
        <f>'Corrected Internal_Parking B123'!E52</f>
        <v>Ground Floor</v>
      </c>
      <c r="E47" s="853" t="str">
        <f>'Corrected Internal_Parking B123'!F52</f>
        <v>GF-B2-15</v>
      </c>
      <c r="F47" s="854" t="str">
        <f>'Corrected Internal_Parking B123'!G52</f>
        <v>Tandem</v>
      </c>
      <c r="G47" s="855">
        <f>'Corrected Internal_Parking B123'!H52</f>
        <v>13.5</v>
      </c>
      <c r="H47" s="856">
        <f>'Corrected Internal_Parking B123'!AT52</f>
        <v>799709.82800624997</v>
      </c>
      <c r="I47" s="857">
        <f>'Corrected Internal_Parking B123'!AV52</f>
        <v>79970.982800625003</v>
      </c>
      <c r="J47" s="858">
        <f>'Corrected Internal_Parking B123'!AU52</f>
        <v>95965.179360749986</v>
      </c>
      <c r="K47" s="855">
        <f>'Corrected Internal_Parking B123'!AW52</f>
        <v>975645.99016762502</v>
      </c>
      <c r="L47" s="859">
        <f>'Corrected Internal_Parking B123'!AX52</f>
        <v>0.15</v>
      </c>
      <c r="M47" s="856">
        <f>'Corrected Internal_Parking B123'!AY52</f>
        <v>146346.89852514374</v>
      </c>
      <c r="N47" s="856">
        <f>'Corrected Internal_Parking B123'!AZ52</f>
        <v>10000</v>
      </c>
      <c r="O47" s="856">
        <f>'Corrected Internal_Parking B123'!BA52</f>
        <v>136346.89852514374</v>
      </c>
      <c r="P47" s="860">
        <f>'Corrected Internal_Parking B123'!BB52</f>
        <v>18</v>
      </c>
      <c r="Q47" s="856">
        <f>'Corrected Internal_Parking B123'!BC52</f>
        <v>7574.8276958413189</v>
      </c>
      <c r="R47" s="856">
        <f>'Corrected Internal_Parking B123'!BE52</f>
        <v>829299.09164248127</v>
      </c>
      <c r="S47" s="856">
        <f>'Corrected Internal_Parking B123'!BF52</f>
        <v>7453.9746856049978</v>
      </c>
      <c r="T47" s="856">
        <f>'Corrected Internal_Parking B123'!BG52</f>
        <v>9628.8656347994838</v>
      </c>
      <c r="U47" s="856">
        <f>'Corrected Internal_Parking B123'!BH52</f>
        <v>16421.115962944295</v>
      </c>
      <c r="W47" s="861">
        <f>H47-'Corrected Internal_Parking B123'!AT52</f>
        <v>0</v>
      </c>
      <c r="X47" s="861">
        <f>J47-'Corrected Internal_Parking B123'!AU52</f>
        <v>0</v>
      </c>
      <c r="Y47" s="861">
        <f>I47-'Corrected Internal_Parking B123'!AV52</f>
        <v>0</v>
      </c>
      <c r="Z47" s="861">
        <f>K47-'Corrected Internal_Parking B123'!AW52</f>
        <v>0</v>
      </c>
      <c r="AA47" s="862">
        <f>L47-'Corrected Internal_Parking B123'!AX52</f>
        <v>0</v>
      </c>
      <c r="AB47" s="861">
        <f>N47-'Corrected Internal_Parking B123'!AZ52</f>
        <v>0</v>
      </c>
      <c r="AC47" s="861">
        <f>Q47-'Corrected Internal_Parking B123'!BC52</f>
        <v>0</v>
      </c>
    </row>
    <row r="48" spans="1:29" ht="12.75" customHeight="1" x14ac:dyDescent="0.3">
      <c r="A48" s="863" t="str">
        <f t="shared" si="0"/>
        <v>GF-B2-16</v>
      </c>
      <c r="B48" s="864" t="str">
        <f>'Corrected Internal_Parking B123'!CA53</f>
        <v>UNSOLD</v>
      </c>
      <c r="C48" s="822" t="str">
        <f>'Corrected Internal_Parking B123'!C53</f>
        <v>Building 2</v>
      </c>
      <c r="D48" s="852" t="str">
        <f>'Corrected Internal_Parking B123'!E53</f>
        <v>Ground Floor</v>
      </c>
      <c r="E48" s="853" t="str">
        <f>'Corrected Internal_Parking B123'!F53</f>
        <v>GF-B2-16</v>
      </c>
      <c r="F48" s="854" t="str">
        <f>'Corrected Internal_Parking B123'!G53</f>
        <v>Tandem</v>
      </c>
      <c r="G48" s="855">
        <f>'Corrected Internal_Parking B123'!H53</f>
        <v>13.5</v>
      </c>
      <c r="H48" s="856">
        <f>'Corrected Internal_Parking B123'!AT53</f>
        <v>799709.82800624997</v>
      </c>
      <c r="I48" s="857">
        <f>'Corrected Internal_Parking B123'!AV53</f>
        <v>79970.982800625003</v>
      </c>
      <c r="J48" s="858">
        <f>'Corrected Internal_Parking B123'!AU53</f>
        <v>95965.179360749986</v>
      </c>
      <c r="K48" s="855">
        <f>'Corrected Internal_Parking B123'!AW53</f>
        <v>975645.99016762502</v>
      </c>
      <c r="L48" s="859">
        <f>'Corrected Internal_Parking B123'!AX53</f>
        <v>0.15</v>
      </c>
      <c r="M48" s="856">
        <f>'Corrected Internal_Parking B123'!AY53</f>
        <v>146346.89852514374</v>
      </c>
      <c r="N48" s="856">
        <f>'Corrected Internal_Parking B123'!AZ53</f>
        <v>10000</v>
      </c>
      <c r="O48" s="856">
        <f>'Corrected Internal_Parking B123'!BA53</f>
        <v>136346.89852514374</v>
      </c>
      <c r="P48" s="860">
        <f>'Corrected Internal_Parking B123'!BB53</f>
        <v>18</v>
      </c>
      <c r="Q48" s="856">
        <f>'Corrected Internal_Parking B123'!BC53</f>
        <v>7574.8276958413189</v>
      </c>
      <c r="R48" s="856">
        <f>'Corrected Internal_Parking B123'!BE53</f>
        <v>829299.09164248127</v>
      </c>
      <c r="S48" s="856">
        <f>'Corrected Internal_Parking B123'!BF53</f>
        <v>7453.9746856049978</v>
      </c>
      <c r="T48" s="856">
        <f>'Corrected Internal_Parking B123'!BG53</f>
        <v>9628.8656347994838</v>
      </c>
      <c r="U48" s="856">
        <f>'Corrected Internal_Parking B123'!BH53</f>
        <v>16421.115962944295</v>
      </c>
      <c r="W48" s="861">
        <f>H48-'Corrected Internal_Parking B123'!AT53</f>
        <v>0</v>
      </c>
      <c r="X48" s="861">
        <f>J48-'Corrected Internal_Parking B123'!AU53</f>
        <v>0</v>
      </c>
      <c r="Y48" s="861">
        <f>I48-'Corrected Internal_Parking B123'!AV53</f>
        <v>0</v>
      </c>
      <c r="Z48" s="861">
        <f>K48-'Corrected Internal_Parking B123'!AW53</f>
        <v>0</v>
      </c>
      <c r="AA48" s="862">
        <f>L48-'Corrected Internal_Parking B123'!AX53</f>
        <v>0</v>
      </c>
      <c r="AB48" s="861">
        <f>N48-'Corrected Internal_Parking B123'!AZ53</f>
        <v>0</v>
      </c>
      <c r="AC48" s="861">
        <f>Q48-'Corrected Internal_Parking B123'!BC53</f>
        <v>0</v>
      </c>
    </row>
    <row r="49" spans="1:29" hidden="1" x14ac:dyDescent="0.3">
      <c r="A49" s="863" t="str">
        <f t="shared" si="0"/>
        <v>GF-B2-17</v>
      </c>
      <c r="B49" s="864" t="str">
        <f>'Corrected Internal_Parking B123'!CA54</f>
        <v>SOLD</v>
      </c>
      <c r="C49" s="822" t="str">
        <f>'Corrected Internal_Parking B123'!C54</f>
        <v>Building 2</v>
      </c>
      <c r="D49" s="852" t="str">
        <f>'Corrected Internal_Parking B123'!E54</f>
        <v>Ground Floor</v>
      </c>
      <c r="E49" s="853" t="str">
        <f>'Corrected Internal_Parking B123'!F54</f>
        <v>GF-B2-17</v>
      </c>
      <c r="F49" s="854" t="str">
        <f>'Corrected Internal_Parking B123'!G54</f>
        <v>Single Slot</v>
      </c>
      <c r="G49" s="855">
        <f>'Corrected Internal_Parking B123'!H54</f>
        <v>13.5</v>
      </c>
      <c r="H49" s="856">
        <f>'Corrected Internal_Parking B123'!AT54</f>
        <v>852770.53125</v>
      </c>
      <c r="I49" s="857">
        <f>'Corrected Internal_Parking B123'!AV54</f>
        <v>85277.053125000006</v>
      </c>
      <c r="J49" s="858">
        <f>'Corrected Internal_Parking B123'!AU54</f>
        <v>102332.46375</v>
      </c>
      <c r="K49" s="855">
        <f>'Corrected Internal_Parking B123'!AW54</f>
        <v>1040380.048125</v>
      </c>
      <c r="L49" s="859">
        <f>'Corrected Internal_Parking B123'!AX54</f>
        <v>0.15</v>
      </c>
      <c r="M49" s="856">
        <f>'Corrected Internal_Parking B123'!AY54</f>
        <v>156057.00721874999</v>
      </c>
      <c r="N49" s="856">
        <f>'Corrected Internal_Parking B123'!AZ54</f>
        <v>10000</v>
      </c>
      <c r="O49" s="856">
        <f>'Corrected Internal_Parking B123'!BA54</f>
        <v>146057.00721874999</v>
      </c>
      <c r="P49" s="860">
        <f>'Corrected Internal_Parking B123'!BB54</f>
        <v>18</v>
      </c>
      <c r="Q49" s="856">
        <f>'Corrected Internal_Parking B123'!BC54</f>
        <v>8114.2781788194443</v>
      </c>
      <c r="R49" s="856">
        <f>'Corrected Internal_Parking B123'!BE54</f>
        <v>884323.04090625001</v>
      </c>
      <c r="S49" s="856">
        <f>'Corrected Internal_Parking B123'!BF54</f>
        <v>7948.5454973272472</v>
      </c>
      <c r="T49" s="856">
        <f>'Corrected Internal_Parking B123'!BG54</f>
        <v>10267.740341761377</v>
      </c>
      <c r="U49" s="856">
        <f>'Corrected Internal_Parking B123'!BH54</f>
        <v>17510.656106790302</v>
      </c>
      <c r="W49" s="861">
        <f>H49-'Corrected Internal_Parking B123'!AT54</f>
        <v>0</v>
      </c>
      <c r="X49" s="861">
        <f>J49-'Corrected Internal_Parking B123'!AU54</f>
        <v>0</v>
      </c>
      <c r="Y49" s="861">
        <f>I49-'Corrected Internal_Parking B123'!AV54</f>
        <v>0</v>
      </c>
      <c r="Z49" s="861">
        <f>K49-'Corrected Internal_Parking B123'!AW54</f>
        <v>0</v>
      </c>
      <c r="AA49" s="862">
        <f>L49-'Corrected Internal_Parking B123'!AX54</f>
        <v>0</v>
      </c>
      <c r="AB49" s="861">
        <f>N49-'Corrected Internal_Parking B123'!AZ54</f>
        <v>0</v>
      </c>
      <c r="AC49" s="861">
        <f>Q49-'Corrected Internal_Parking B123'!BC54</f>
        <v>0</v>
      </c>
    </row>
    <row r="50" spans="1:29" ht="12.75" hidden="1" customHeight="1" x14ac:dyDescent="0.3">
      <c r="A50" s="863" t="str">
        <f t="shared" si="0"/>
        <v>GF-B2-18</v>
      </c>
      <c r="B50" s="864" t="str">
        <f>'Corrected Internal_Parking B123'!CA55</f>
        <v>SOLD</v>
      </c>
      <c r="C50" s="822" t="str">
        <f>'Corrected Internal_Parking B123'!C55</f>
        <v>Building 2</v>
      </c>
      <c r="D50" s="852" t="str">
        <f>'Corrected Internal_Parking B123'!E55</f>
        <v>Ground Floor</v>
      </c>
      <c r="E50" s="853" t="str">
        <f>'Corrected Internal_Parking B123'!F55</f>
        <v>GF-B2-18</v>
      </c>
      <c r="F50" s="854" t="str">
        <f>'Corrected Internal_Parking B123'!G55</f>
        <v>Single Slot</v>
      </c>
      <c r="G50" s="855">
        <f>'Corrected Internal_Parking B123'!H55</f>
        <v>13.5</v>
      </c>
      <c r="H50" s="856">
        <f>'Corrected Internal_Parking B123'!AT55</f>
        <v>852770.53125</v>
      </c>
      <c r="I50" s="857">
        <f>'Corrected Internal_Parking B123'!AV55</f>
        <v>85277.053125000006</v>
      </c>
      <c r="J50" s="858">
        <f>'Corrected Internal_Parking B123'!AU55</f>
        <v>102332.46375</v>
      </c>
      <c r="K50" s="855">
        <f>'Corrected Internal_Parking B123'!AW55</f>
        <v>1040380.048125</v>
      </c>
      <c r="L50" s="859">
        <f>'Corrected Internal_Parking B123'!AX55</f>
        <v>0.15</v>
      </c>
      <c r="M50" s="856">
        <f>'Corrected Internal_Parking B123'!AY55</f>
        <v>156057.00721874999</v>
      </c>
      <c r="N50" s="856">
        <f>'Corrected Internal_Parking B123'!AZ55</f>
        <v>10000</v>
      </c>
      <c r="O50" s="856">
        <f>'Corrected Internal_Parking B123'!BA55</f>
        <v>146057.00721874999</v>
      </c>
      <c r="P50" s="860">
        <f>'Corrected Internal_Parking B123'!BB55</f>
        <v>18</v>
      </c>
      <c r="Q50" s="856">
        <f>'Corrected Internal_Parking B123'!BC55</f>
        <v>8114.2781788194443</v>
      </c>
      <c r="R50" s="856">
        <f>'Corrected Internal_Parking B123'!BE55</f>
        <v>884323.04090625001</v>
      </c>
      <c r="S50" s="856">
        <f>'Corrected Internal_Parking B123'!BF55</f>
        <v>7948.5454973272472</v>
      </c>
      <c r="T50" s="856">
        <f>'Corrected Internal_Parking B123'!BG55</f>
        <v>10267.740341761377</v>
      </c>
      <c r="U50" s="856">
        <f>'Corrected Internal_Parking B123'!BH55</f>
        <v>17510.656106790302</v>
      </c>
      <c r="W50" s="861">
        <f>H50-'Corrected Internal_Parking B123'!AT55</f>
        <v>0</v>
      </c>
      <c r="X50" s="861">
        <f>J50-'Corrected Internal_Parking B123'!AU55</f>
        <v>0</v>
      </c>
      <c r="Y50" s="861">
        <f>I50-'Corrected Internal_Parking B123'!AV55</f>
        <v>0</v>
      </c>
      <c r="Z50" s="861">
        <f>K50-'Corrected Internal_Parking B123'!AW55</f>
        <v>0</v>
      </c>
      <c r="AA50" s="862">
        <f>L50-'Corrected Internal_Parking B123'!AX55</f>
        <v>0</v>
      </c>
      <c r="AB50" s="861">
        <f>N50-'Corrected Internal_Parking B123'!AZ55</f>
        <v>0</v>
      </c>
      <c r="AC50" s="861">
        <f>Q50-'Corrected Internal_Parking B123'!BC55</f>
        <v>0</v>
      </c>
    </row>
    <row r="51" spans="1:29" hidden="1" x14ac:dyDescent="0.3">
      <c r="A51" s="863" t="str">
        <f t="shared" si="0"/>
        <v>GF-B2-19</v>
      </c>
      <c r="B51" s="864" t="str">
        <f>'Corrected Internal_Parking B123'!CA56</f>
        <v>SOLD</v>
      </c>
      <c r="C51" s="822" t="str">
        <f>'Corrected Internal_Parking B123'!C56</f>
        <v>Building 2</v>
      </c>
      <c r="D51" s="852" t="str">
        <f>'Corrected Internal_Parking B123'!E56</f>
        <v>Ground Floor</v>
      </c>
      <c r="E51" s="853" t="str">
        <f>'Corrected Internal_Parking B123'!F56</f>
        <v>GF-B2-19</v>
      </c>
      <c r="F51" s="854" t="str">
        <f>'Corrected Internal_Parking B123'!G56</f>
        <v>Single Slot</v>
      </c>
      <c r="G51" s="855">
        <f>'Corrected Internal_Parking B123'!H56</f>
        <v>13.5</v>
      </c>
      <c r="H51" s="856">
        <f>'Corrected Internal_Parking B123'!AT56</f>
        <v>852770.53125</v>
      </c>
      <c r="I51" s="857">
        <f>'Corrected Internal_Parking B123'!AV56</f>
        <v>85277.053125000006</v>
      </c>
      <c r="J51" s="858">
        <f>'Corrected Internal_Parking B123'!AU56</f>
        <v>102332.46375</v>
      </c>
      <c r="K51" s="855">
        <f>'Corrected Internal_Parking B123'!AW56</f>
        <v>1040380.048125</v>
      </c>
      <c r="L51" s="859">
        <f>'Corrected Internal_Parking B123'!AX56</f>
        <v>0.15</v>
      </c>
      <c r="M51" s="856">
        <f>'Corrected Internal_Parking B123'!AY56</f>
        <v>156057.00721874999</v>
      </c>
      <c r="N51" s="856">
        <f>'Corrected Internal_Parking B123'!AZ56</f>
        <v>10000</v>
      </c>
      <c r="O51" s="856">
        <f>'Corrected Internal_Parking B123'!BA56</f>
        <v>146057.00721874999</v>
      </c>
      <c r="P51" s="860">
        <f>'Corrected Internal_Parking B123'!BB56</f>
        <v>18</v>
      </c>
      <c r="Q51" s="856">
        <f>'Corrected Internal_Parking B123'!BC56</f>
        <v>8114.2781788194443</v>
      </c>
      <c r="R51" s="856">
        <f>'Corrected Internal_Parking B123'!BE56</f>
        <v>884323.04090625001</v>
      </c>
      <c r="S51" s="856">
        <f>'Corrected Internal_Parking B123'!BF56</f>
        <v>7948.5454973272472</v>
      </c>
      <c r="T51" s="856">
        <f>'Corrected Internal_Parking B123'!BG56</f>
        <v>10267.740341761377</v>
      </c>
      <c r="U51" s="856">
        <f>'Corrected Internal_Parking B123'!BH56</f>
        <v>17510.656106790302</v>
      </c>
      <c r="W51" s="861">
        <f>H51-'Corrected Internal_Parking B123'!AT56</f>
        <v>0</v>
      </c>
      <c r="X51" s="861">
        <f>J51-'Corrected Internal_Parking B123'!AU56</f>
        <v>0</v>
      </c>
      <c r="Y51" s="861">
        <f>I51-'Corrected Internal_Parking B123'!AV56</f>
        <v>0</v>
      </c>
      <c r="Z51" s="861">
        <f>K51-'Corrected Internal_Parking B123'!AW56</f>
        <v>0</v>
      </c>
      <c r="AA51" s="862">
        <f>L51-'Corrected Internal_Parking B123'!AX56</f>
        <v>0</v>
      </c>
      <c r="AB51" s="861">
        <f>N51-'Corrected Internal_Parking B123'!AZ56</f>
        <v>0</v>
      </c>
      <c r="AC51" s="861">
        <f>Q51-'Corrected Internal_Parking B123'!BC56</f>
        <v>0</v>
      </c>
    </row>
    <row r="52" spans="1:29" ht="12.75" hidden="1" customHeight="1" x14ac:dyDescent="0.3">
      <c r="A52" s="863" t="str">
        <f t="shared" si="0"/>
        <v>GF-B2-20</v>
      </c>
      <c r="B52" s="864" t="str">
        <f>'Corrected Internal_Parking B123'!CA57</f>
        <v>SOLD</v>
      </c>
      <c r="C52" s="822" t="str">
        <f>'Corrected Internal_Parking B123'!C57</f>
        <v>Building 2</v>
      </c>
      <c r="D52" s="852" t="str">
        <f>'Corrected Internal_Parking B123'!E57</f>
        <v>Ground Floor</v>
      </c>
      <c r="E52" s="853" t="str">
        <f>'Corrected Internal_Parking B123'!F57</f>
        <v>GF-B2-20</v>
      </c>
      <c r="F52" s="854" t="str">
        <f>'Corrected Internal_Parking B123'!G57</f>
        <v>Single Slot</v>
      </c>
      <c r="G52" s="855">
        <f>'Corrected Internal_Parking B123'!H57</f>
        <v>13.5</v>
      </c>
      <c r="H52" s="856">
        <f>'Corrected Internal_Parking B123'!AT57</f>
        <v>852770.53125</v>
      </c>
      <c r="I52" s="857">
        <f>'Corrected Internal_Parking B123'!AV57</f>
        <v>85277.053125000006</v>
      </c>
      <c r="J52" s="858">
        <f>'Corrected Internal_Parking B123'!AU57</f>
        <v>102332.46375</v>
      </c>
      <c r="K52" s="855">
        <f>'Corrected Internal_Parking B123'!AW57</f>
        <v>1040380.048125</v>
      </c>
      <c r="L52" s="859">
        <f>'Corrected Internal_Parking B123'!AX57</f>
        <v>0.15</v>
      </c>
      <c r="M52" s="856">
        <f>'Corrected Internal_Parking B123'!AY57</f>
        <v>156057.00721874999</v>
      </c>
      <c r="N52" s="856">
        <f>'Corrected Internal_Parking B123'!AZ57</f>
        <v>10000</v>
      </c>
      <c r="O52" s="856">
        <f>'Corrected Internal_Parking B123'!BA57</f>
        <v>146057.00721874999</v>
      </c>
      <c r="P52" s="860">
        <f>'Corrected Internal_Parking B123'!BB57</f>
        <v>18</v>
      </c>
      <c r="Q52" s="856">
        <f>'Corrected Internal_Parking B123'!BC57</f>
        <v>8114.2781788194443</v>
      </c>
      <c r="R52" s="856">
        <f>'Corrected Internal_Parking B123'!BE57</f>
        <v>884323.04090625001</v>
      </c>
      <c r="S52" s="856">
        <f>'Corrected Internal_Parking B123'!BF57</f>
        <v>7948.5454973272472</v>
      </c>
      <c r="T52" s="856">
        <f>'Corrected Internal_Parking B123'!BG57</f>
        <v>10267.740341761377</v>
      </c>
      <c r="U52" s="856">
        <f>'Corrected Internal_Parking B123'!BH57</f>
        <v>17510.656106790302</v>
      </c>
      <c r="W52" s="861">
        <f>H52-'Corrected Internal_Parking B123'!AT57</f>
        <v>0</v>
      </c>
      <c r="X52" s="861">
        <f>J52-'Corrected Internal_Parking B123'!AU57</f>
        <v>0</v>
      </c>
      <c r="Y52" s="861">
        <f>I52-'Corrected Internal_Parking B123'!AV57</f>
        <v>0</v>
      </c>
      <c r="Z52" s="861">
        <f>K52-'Corrected Internal_Parking B123'!AW57</f>
        <v>0</v>
      </c>
      <c r="AA52" s="862">
        <f>L52-'Corrected Internal_Parking B123'!AX57</f>
        <v>0</v>
      </c>
      <c r="AB52" s="861">
        <f>N52-'Corrected Internal_Parking B123'!AZ57</f>
        <v>0</v>
      </c>
      <c r="AC52" s="861">
        <f>Q52-'Corrected Internal_Parking B123'!BC57</f>
        <v>0</v>
      </c>
    </row>
    <row r="53" spans="1:29" hidden="1" x14ac:dyDescent="0.3">
      <c r="A53" s="863" t="str">
        <f t="shared" si="0"/>
        <v>GF-B2-21</v>
      </c>
      <c r="B53" s="864" t="str">
        <f>'Corrected Internal_Parking B123'!CA58</f>
        <v>SOLD</v>
      </c>
      <c r="C53" s="822" t="str">
        <f>'Corrected Internal_Parking B123'!C58</f>
        <v>Building 2</v>
      </c>
      <c r="D53" s="852" t="str">
        <f>'Corrected Internal_Parking B123'!E58</f>
        <v>Ground Floor</v>
      </c>
      <c r="E53" s="853" t="str">
        <f>'Corrected Internal_Parking B123'!F58</f>
        <v>GF-B2-21</v>
      </c>
      <c r="F53" s="854" t="str">
        <f>'Corrected Internal_Parking B123'!G58</f>
        <v>Single Slot</v>
      </c>
      <c r="G53" s="855">
        <f>'Corrected Internal_Parking B123'!H58</f>
        <v>13.5</v>
      </c>
      <c r="H53" s="856">
        <f>'Corrected Internal_Parking B123'!AT58</f>
        <v>868921.48828125</v>
      </c>
      <c r="I53" s="857">
        <f>'Corrected Internal_Parking B123'!AV58</f>
        <v>86892.148828125006</v>
      </c>
      <c r="J53" s="858">
        <f>'Corrected Internal_Parking B123'!AU58</f>
        <v>104270.57859374999</v>
      </c>
      <c r="K53" s="855">
        <f>'Corrected Internal_Parking B123'!AW58</f>
        <v>1060084.2157031251</v>
      </c>
      <c r="L53" s="859">
        <f>'Corrected Internal_Parking B123'!AX58</f>
        <v>0.15</v>
      </c>
      <c r="M53" s="856">
        <f>'Corrected Internal_Parking B123'!AY58</f>
        <v>159012.63235546876</v>
      </c>
      <c r="N53" s="856">
        <f>'Corrected Internal_Parking B123'!AZ58</f>
        <v>10000</v>
      </c>
      <c r="O53" s="856">
        <f>'Corrected Internal_Parking B123'!BA58</f>
        <v>149012.63235546876</v>
      </c>
      <c r="P53" s="860">
        <f>'Corrected Internal_Parking B123'!BB58</f>
        <v>18</v>
      </c>
      <c r="Q53" s="856">
        <f>'Corrected Internal_Parking B123'!BC58</f>
        <v>8278.4795753038197</v>
      </c>
      <c r="R53" s="856">
        <f>'Corrected Internal_Parking B123'!BE58</f>
        <v>901071.5833476563</v>
      </c>
      <c r="S53" s="856">
        <f>'Corrected Internal_Parking B123'!BF58</f>
        <v>8099.086131746325</v>
      </c>
      <c r="T53" s="856">
        <f>'Corrected Internal_Parking B123'!BG58</f>
        <v>10462.205120961404</v>
      </c>
      <c r="U53" s="856">
        <f>'Corrected Internal_Parking B123'!BH58</f>
        <v>17842.297320934056</v>
      </c>
      <c r="W53" s="861">
        <f>H53-'Corrected Internal_Parking B123'!AT58</f>
        <v>0</v>
      </c>
      <c r="X53" s="861">
        <f>J53-'Corrected Internal_Parking B123'!AU58</f>
        <v>0</v>
      </c>
      <c r="Y53" s="861">
        <f>I53-'Corrected Internal_Parking B123'!AV58</f>
        <v>0</v>
      </c>
      <c r="Z53" s="861">
        <f>K53-'Corrected Internal_Parking B123'!AW58</f>
        <v>0</v>
      </c>
      <c r="AA53" s="862">
        <f>L53-'Corrected Internal_Parking B123'!AX58</f>
        <v>0</v>
      </c>
      <c r="AB53" s="861">
        <f>N53-'Corrected Internal_Parking B123'!AZ58</f>
        <v>0</v>
      </c>
      <c r="AC53" s="861">
        <f>Q53-'Corrected Internal_Parking B123'!BC58</f>
        <v>0</v>
      </c>
    </row>
    <row r="54" spans="1:29" ht="12.75" hidden="1" customHeight="1" x14ac:dyDescent="0.3">
      <c r="A54" s="863" t="str">
        <f t="shared" si="0"/>
        <v>GF-B2-22</v>
      </c>
      <c r="B54" s="864" t="str">
        <f>'Corrected Internal_Parking B123'!CA59</f>
        <v>SOLD</v>
      </c>
      <c r="C54" s="822" t="str">
        <f>'Corrected Internal_Parking B123'!C59</f>
        <v>Building 2</v>
      </c>
      <c r="D54" s="852" t="str">
        <f>'Corrected Internal_Parking B123'!E59</f>
        <v>Ground Floor</v>
      </c>
      <c r="E54" s="853" t="str">
        <f>'Corrected Internal_Parking B123'!F59</f>
        <v>GF-B2-22</v>
      </c>
      <c r="F54" s="854" t="str">
        <f>'Corrected Internal_Parking B123'!G59</f>
        <v>Single Slot</v>
      </c>
      <c r="G54" s="855">
        <f>'Corrected Internal_Parking B123'!H59</f>
        <v>13.5</v>
      </c>
      <c r="H54" s="856">
        <f>'Corrected Internal_Parking B123'!AT59</f>
        <v>869697.30847499997</v>
      </c>
      <c r="I54" s="857">
        <f>'Corrected Internal_Parking B123'!AV59</f>
        <v>86969.730847500003</v>
      </c>
      <c r="J54" s="858">
        <f>'Corrected Internal_Parking B123'!AU59</f>
        <v>104363.67701699999</v>
      </c>
      <c r="K54" s="855">
        <f>'Corrected Internal_Parking B123'!AW59</f>
        <v>1061030.7163394999</v>
      </c>
      <c r="L54" s="859">
        <f>'Corrected Internal_Parking B123'!AX59</f>
        <v>0.15</v>
      </c>
      <c r="M54" s="856">
        <f>'Corrected Internal_Parking B123'!AY59</f>
        <v>159154.60745092499</v>
      </c>
      <c r="N54" s="856">
        <f>'Corrected Internal_Parking B123'!AZ59</f>
        <v>10000</v>
      </c>
      <c r="O54" s="856">
        <f>'Corrected Internal_Parking B123'!BA59</f>
        <v>149154.60745092499</v>
      </c>
      <c r="P54" s="860">
        <f>'Corrected Internal_Parking B123'!BB59</f>
        <v>18</v>
      </c>
      <c r="Q54" s="856">
        <f>'Corrected Internal_Parking B123'!BC59</f>
        <v>8286.367080606944</v>
      </c>
      <c r="R54" s="856">
        <f>'Corrected Internal_Parking B123'!BE59</f>
        <v>901876.10888857488</v>
      </c>
      <c r="S54" s="856">
        <f>'Corrected Internal_Parking B123'!BF59</f>
        <v>8106.317434754329</v>
      </c>
      <c r="T54" s="856">
        <f>'Corrected Internal_Parking B123'!BG59</f>
        <v>10471.546344666263</v>
      </c>
      <c r="U54" s="856">
        <f>'Corrected Internal_Parking B123'!BH59</f>
        <v>17858.227890900569</v>
      </c>
      <c r="W54" s="861">
        <f>H54-'Corrected Internal_Parking B123'!AT59</f>
        <v>0</v>
      </c>
      <c r="X54" s="861">
        <f>J54-'Corrected Internal_Parking B123'!AU59</f>
        <v>0</v>
      </c>
      <c r="Y54" s="861">
        <f>I54-'Corrected Internal_Parking B123'!AV59</f>
        <v>0</v>
      </c>
      <c r="Z54" s="861">
        <f>K54-'Corrected Internal_Parking B123'!AW59</f>
        <v>0</v>
      </c>
      <c r="AA54" s="862">
        <f>L54-'Corrected Internal_Parking B123'!AX59</f>
        <v>0</v>
      </c>
      <c r="AB54" s="861">
        <f>N54-'Corrected Internal_Parking B123'!AZ59</f>
        <v>0</v>
      </c>
      <c r="AC54" s="861">
        <f>Q54-'Corrected Internal_Parking B123'!BC59</f>
        <v>0</v>
      </c>
    </row>
    <row r="55" spans="1:29" ht="12.75" hidden="1" customHeight="1" x14ac:dyDescent="0.3">
      <c r="A55" s="863" t="str">
        <f t="shared" si="0"/>
        <v>GF-B2-23</v>
      </c>
      <c r="B55" s="864" t="str">
        <f>'Corrected Internal_Parking B123'!CA60</f>
        <v>NOT YET OPEN</v>
      </c>
      <c r="C55" s="822" t="str">
        <f>'Corrected Internal_Parking B123'!C60</f>
        <v>Building 2</v>
      </c>
      <c r="D55" s="852" t="str">
        <f>'Corrected Internal_Parking B123'!E60</f>
        <v>Ground Floor</v>
      </c>
      <c r="E55" s="853" t="str">
        <f>'Corrected Internal_Parking B123'!F60</f>
        <v>GF-B2-23</v>
      </c>
      <c r="F55" s="854" t="str">
        <f>'Corrected Internal_Parking B123'!G60</f>
        <v>Single Slot</v>
      </c>
      <c r="G55" s="855">
        <f>'Corrected Internal_Parking B123'!H60</f>
        <v>13.5</v>
      </c>
      <c r="H55" s="856">
        <f>'Corrected Internal_Parking B123'!AT60</f>
        <v>868921.48828125</v>
      </c>
      <c r="I55" s="857">
        <f>'Corrected Internal_Parking B123'!AV60</f>
        <v>86892.148828125006</v>
      </c>
      <c r="J55" s="858">
        <f>'Corrected Internal_Parking B123'!AU60</f>
        <v>104270.57859374999</v>
      </c>
      <c r="K55" s="855">
        <f>'Corrected Internal_Parking B123'!AW60</f>
        <v>1060084.2157031251</v>
      </c>
      <c r="L55" s="859">
        <f>'Corrected Internal_Parking B123'!AX60</f>
        <v>0.15</v>
      </c>
      <c r="M55" s="856">
        <f>'Corrected Internal_Parking B123'!AY60</f>
        <v>159012.63235546876</v>
      </c>
      <c r="N55" s="856">
        <f>'Corrected Internal_Parking B123'!AZ60</f>
        <v>10000</v>
      </c>
      <c r="O55" s="856">
        <f>'Corrected Internal_Parking B123'!BA60</f>
        <v>149012.63235546876</v>
      </c>
      <c r="P55" s="860">
        <f>'Corrected Internal_Parking B123'!BB60</f>
        <v>18</v>
      </c>
      <c r="Q55" s="856">
        <f>'Corrected Internal_Parking B123'!BC60</f>
        <v>8278.4795753038197</v>
      </c>
      <c r="R55" s="856">
        <f>'Corrected Internal_Parking B123'!BE60</f>
        <v>901071.5833476563</v>
      </c>
      <c r="S55" s="856">
        <f>'Corrected Internal_Parking B123'!BF60</f>
        <v>8099.086131746325</v>
      </c>
      <c r="T55" s="856">
        <f>'Corrected Internal_Parking B123'!BG60</f>
        <v>10462.205120961404</v>
      </c>
      <c r="U55" s="856">
        <f>'Corrected Internal_Parking B123'!BH60</f>
        <v>17842.297320934056</v>
      </c>
      <c r="W55" s="861">
        <f>H55-'Corrected Internal_Parking B123'!AT60</f>
        <v>0</v>
      </c>
      <c r="X55" s="861">
        <f>J55-'Corrected Internal_Parking B123'!AU60</f>
        <v>0</v>
      </c>
      <c r="Y55" s="861">
        <f>I55-'Corrected Internal_Parking B123'!AV60</f>
        <v>0</v>
      </c>
      <c r="Z55" s="861">
        <f>K55-'Corrected Internal_Parking B123'!AW60</f>
        <v>0</v>
      </c>
      <c r="AA55" s="862">
        <f>L55-'Corrected Internal_Parking B123'!AX60</f>
        <v>0</v>
      </c>
      <c r="AB55" s="861">
        <f>N55-'Corrected Internal_Parking B123'!AZ60</f>
        <v>0</v>
      </c>
      <c r="AC55" s="861">
        <f>Q55-'Corrected Internal_Parking B123'!BC60</f>
        <v>0</v>
      </c>
    </row>
    <row r="56" spans="1:29" ht="12.75" hidden="1" customHeight="1" x14ac:dyDescent="0.3">
      <c r="A56" s="863" t="str">
        <f t="shared" si="0"/>
        <v>GF-B2-24</v>
      </c>
      <c r="B56" s="864" t="str">
        <f>'Corrected Internal_Parking B123'!CA61</f>
        <v>SOLD</v>
      </c>
      <c r="C56" s="822" t="str">
        <f>'Corrected Internal_Parking B123'!C61</f>
        <v>Building 2</v>
      </c>
      <c r="D56" s="852" t="str">
        <f>'Corrected Internal_Parking B123'!E61</f>
        <v>Ground Floor</v>
      </c>
      <c r="E56" s="853" t="str">
        <f>'Corrected Internal_Parking B123'!F61</f>
        <v>GF-B2-24</v>
      </c>
      <c r="F56" s="854" t="str">
        <f>'Corrected Internal_Parking B123'!G61</f>
        <v>Single Slot</v>
      </c>
      <c r="G56" s="855">
        <f>'Corrected Internal_Parking B123'!H61</f>
        <v>13.5</v>
      </c>
      <c r="H56" s="856">
        <f>'Corrected Internal_Parking B123'!AT61</f>
        <v>868921.48828125</v>
      </c>
      <c r="I56" s="857">
        <f>'Corrected Internal_Parking B123'!AV61</f>
        <v>86892.148828125006</v>
      </c>
      <c r="J56" s="858">
        <f>'Corrected Internal_Parking B123'!AU61</f>
        <v>104270.57859374999</v>
      </c>
      <c r="K56" s="855">
        <f>'Corrected Internal_Parking B123'!AW61</f>
        <v>1060084.2157031251</v>
      </c>
      <c r="L56" s="859">
        <f>'Corrected Internal_Parking B123'!AX61</f>
        <v>0.15</v>
      </c>
      <c r="M56" s="856">
        <f>'Corrected Internal_Parking B123'!AY61</f>
        <v>159012.63235546876</v>
      </c>
      <c r="N56" s="856">
        <f>'Corrected Internal_Parking B123'!AZ61</f>
        <v>10000</v>
      </c>
      <c r="O56" s="856">
        <f>'Corrected Internal_Parking B123'!BA61</f>
        <v>149012.63235546876</v>
      </c>
      <c r="P56" s="860">
        <f>'Corrected Internal_Parking B123'!BB61</f>
        <v>18</v>
      </c>
      <c r="Q56" s="856">
        <f>'Corrected Internal_Parking B123'!BC61</f>
        <v>8278.4795753038197</v>
      </c>
      <c r="R56" s="856">
        <f>'Corrected Internal_Parking B123'!BE61</f>
        <v>901071.5833476563</v>
      </c>
      <c r="S56" s="856">
        <f>'Corrected Internal_Parking B123'!BF61</f>
        <v>8099.086131746325</v>
      </c>
      <c r="T56" s="856">
        <f>'Corrected Internal_Parking B123'!BG61</f>
        <v>10462.205120961404</v>
      </c>
      <c r="U56" s="856">
        <f>'Corrected Internal_Parking B123'!BH61</f>
        <v>17842.297320934056</v>
      </c>
      <c r="W56" s="861">
        <f>H56-'Corrected Internal_Parking B123'!AT61</f>
        <v>0</v>
      </c>
      <c r="X56" s="861">
        <f>J56-'Corrected Internal_Parking B123'!AU61</f>
        <v>0</v>
      </c>
      <c r="Y56" s="861">
        <f>I56-'Corrected Internal_Parking B123'!AV61</f>
        <v>0</v>
      </c>
      <c r="Z56" s="861">
        <f>K56-'Corrected Internal_Parking B123'!AW61</f>
        <v>0</v>
      </c>
      <c r="AA56" s="862">
        <f>L56-'Corrected Internal_Parking B123'!AX61</f>
        <v>0</v>
      </c>
      <c r="AB56" s="861">
        <f>N56-'Corrected Internal_Parking B123'!AZ61</f>
        <v>0</v>
      </c>
      <c r="AC56" s="861">
        <f>Q56-'Corrected Internal_Parking B123'!BC61</f>
        <v>0</v>
      </c>
    </row>
    <row r="57" spans="1:29" ht="12.75" hidden="1" customHeight="1" x14ac:dyDescent="0.3">
      <c r="A57" s="863" t="str">
        <f t="shared" si="0"/>
        <v>GF-B2-25</v>
      </c>
      <c r="B57" s="864" t="str">
        <f>'Corrected Internal_Parking B123'!CA62</f>
        <v>SOLD</v>
      </c>
      <c r="C57" s="822" t="str">
        <f>'Corrected Internal_Parking B123'!C62</f>
        <v>Building 2</v>
      </c>
      <c r="D57" s="852" t="str">
        <f>'Corrected Internal_Parking B123'!E62</f>
        <v>Ground Floor</v>
      </c>
      <c r="E57" s="853" t="str">
        <f>'Corrected Internal_Parking B123'!F62</f>
        <v>GF-B2-25</v>
      </c>
      <c r="F57" s="854" t="str">
        <f>'Corrected Internal_Parking B123'!G62</f>
        <v>Single Slot</v>
      </c>
      <c r="G57" s="855">
        <f>'Corrected Internal_Parking B123'!H62</f>
        <v>13.5</v>
      </c>
      <c r="H57" s="856">
        <f>'Corrected Internal_Parking B123'!AT62</f>
        <v>868921.48828125</v>
      </c>
      <c r="I57" s="857">
        <f>'Corrected Internal_Parking B123'!AV62</f>
        <v>86892.148828125006</v>
      </c>
      <c r="J57" s="858">
        <f>'Corrected Internal_Parking B123'!AU62</f>
        <v>104270.57859374999</v>
      </c>
      <c r="K57" s="855">
        <f>'Corrected Internal_Parking B123'!AW62</f>
        <v>1060084.2157031251</v>
      </c>
      <c r="L57" s="859">
        <f>'Corrected Internal_Parking B123'!AX62</f>
        <v>0.15</v>
      </c>
      <c r="M57" s="856">
        <f>'Corrected Internal_Parking B123'!AY62</f>
        <v>159012.63235546876</v>
      </c>
      <c r="N57" s="856">
        <f>'Corrected Internal_Parking B123'!AZ62</f>
        <v>10000</v>
      </c>
      <c r="O57" s="856">
        <f>'Corrected Internal_Parking B123'!BA62</f>
        <v>149012.63235546876</v>
      </c>
      <c r="P57" s="860">
        <f>'Corrected Internal_Parking B123'!BB62</f>
        <v>18</v>
      </c>
      <c r="Q57" s="856">
        <f>'Corrected Internal_Parking B123'!BC62</f>
        <v>8278.4795753038197</v>
      </c>
      <c r="R57" s="856">
        <f>'Corrected Internal_Parking B123'!BE62</f>
        <v>901071.5833476563</v>
      </c>
      <c r="S57" s="856">
        <f>'Corrected Internal_Parking B123'!BF62</f>
        <v>8099.086131746325</v>
      </c>
      <c r="T57" s="856">
        <f>'Corrected Internal_Parking B123'!BG62</f>
        <v>10462.205120961404</v>
      </c>
      <c r="U57" s="856">
        <f>'Corrected Internal_Parking B123'!BH62</f>
        <v>17842.297320934056</v>
      </c>
      <c r="W57" s="861">
        <f>H57-'Corrected Internal_Parking B123'!AT62</f>
        <v>0</v>
      </c>
      <c r="X57" s="861">
        <f>J57-'Corrected Internal_Parking B123'!AU62</f>
        <v>0</v>
      </c>
      <c r="Y57" s="861">
        <f>I57-'Corrected Internal_Parking B123'!AV62</f>
        <v>0</v>
      </c>
      <c r="Z57" s="861">
        <f>K57-'Corrected Internal_Parking B123'!AW62</f>
        <v>0</v>
      </c>
      <c r="AA57" s="862">
        <f>L57-'Corrected Internal_Parking B123'!AX62</f>
        <v>0</v>
      </c>
      <c r="AB57" s="861">
        <f>N57-'Corrected Internal_Parking B123'!AZ62</f>
        <v>0</v>
      </c>
      <c r="AC57" s="861">
        <f>Q57-'Corrected Internal_Parking B123'!BC62</f>
        <v>0</v>
      </c>
    </row>
    <row r="58" spans="1:29" ht="12.75" hidden="1" customHeight="1" x14ac:dyDescent="0.3">
      <c r="A58" s="863" t="str">
        <f t="shared" si="0"/>
        <v>GF-B2-26</v>
      </c>
      <c r="B58" s="864" t="str">
        <f>'Corrected Internal_Parking B123'!CA63</f>
        <v>SOLD</v>
      </c>
      <c r="C58" s="822" t="str">
        <f>'Corrected Internal_Parking B123'!C63</f>
        <v>Building 2</v>
      </c>
      <c r="D58" s="852" t="str">
        <f>'Corrected Internal_Parking B123'!E63</f>
        <v>Ground Floor</v>
      </c>
      <c r="E58" s="853" t="str">
        <f>'Corrected Internal_Parking B123'!F63</f>
        <v>GF-B2-26</v>
      </c>
      <c r="F58" s="854" t="str">
        <f>'Corrected Internal_Parking B123'!G63</f>
        <v>Single Slot</v>
      </c>
      <c r="G58" s="855">
        <f>'Corrected Internal_Parking B123'!H63</f>
        <v>13.5</v>
      </c>
      <c r="H58" s="856">
        <f>'Corrected Internal_Parking B123'!AT63</f>
        <v>868921.48828125</v>
      </c>
      <c r="I58" s="857">
        <f>'Corrected Internal_Parking B123'!AV63</f>
        <v>86892.148828125006</v>
      </c>
      <c r="J58" s="858">
        <f>'Corrected Internal_Parking B123'!AU63</f>
        <v>104270.57859374999</v>
      </c>
      <c r="K58" s="855">
        <f>'Corrected Internal_Parking B123'!AW63</f>
        <v>1060084.2157031251</v>
      </c>
      <c r="L58" s="859">
        <f>'Corrected Internal_Parking B123'!AX63</f>
        <v>0.15</v>
      </c>
      <c r="M58" s="856">
        <f>'Corrected Internal_Parking B123'!AY63</f>
        <v>159012.63235546876</v>
      </c>
      <c r="N58" s="856">
        <f>'Corrected Internal_Parking B123'!AZ63</f>
        <v>10000</v>
      </c>
      <c r="O58" s="856">
        <f>'Corrected Internal_Parking B123'!BA63</f>
        <v>149012.63235546876</v>
      </c>
      <c r="P58" s="860">
        <f>'Corrected Internal_Parking B123'!BB63</f>
        <v>18</v>
      </c>
      <c r="Q58" s="856">
        <f>'Corrected Internal_Parking B123'!BC63</f>
        <v>8278.4795753038197</v>
      </c>
      <c r="R58" s="856">
        <f>'Corrected Internal_Parking B123'!BE63</f>
        <v>901071.5833476563</v>
      </c>
      <c r="S58" s="856">
        <f>'Corrected Internal_Parking B123'!BF63</f>
        <v>8099.086131746325</v>
      </c>
      <c r="T58" s="856">
        <f>'Corrected Internal_Parking B123'!BG63</f>
        <v>10462.205120961404</v>
      </c>
      <c r="U58" s="856">
        <f>'Corrected Internal_Parking B123'!BH63</f>
        <v>17842.297320934056</v>
      </c>
      <c r="W58" s="861">
        <f>H58-'Corrected Internal_Parking B123'!AT63</f>
        <v>0</v>
      </c>
      <c r="X58" s="861">
        <f>J58-'Corrected Internal_Parking B123'!AU63</f>
        <v>0</v>
      </c>
      <c r="Y58" s="861">
        <f>I58-'Corrected Internal_Parking B123'!AV63</f>
        <v>0</v>
      </c>
      <c r="Z58" s="861">
        <f>K58-'Corrected Internal_Parking B123'!AW63</f>
        <v>0</v>
      </c>
      <c r="AA58" s="862">
        <f>L58-'Corrected Internal_Parking B123'!AX63</f>
        <v>0</v>
      </c>
      <c r="AB58" s="861">
        <f>N58-'Corrected Internal_Parking B123'!AZ63</f>
        <v>0</v>
      </c>
      <c r="AC58" s="861">
        <f>Q58-'Corrected Internal_Parking B123'!BC63</f>
        <v>0</v>
      </c>
    </row>
    <row r="59" spans="1:29" ht="12.75" customHeight="1" x14ac:dyDescent="0.3">
      <c r="A59" s="863" t="str">
        <f t="shared" si="0"/>
        <v>GF-B2-27</v>
      </c>
      <c r="B59" s="864" t="str">
        <f>'Corrected Internal_Parking B123'!CA64</f>
        <v>UNSOLD</v>
      </c>
      <c r="C59" s="822" t="str">
        <f>'Corrected Internal_Parking B123'!C64</f>
        <v>Building 2</v>
      </c>
      <c r="D59" s="852" t="str">
        <f>'Corrected Internal_Parking B123'!E64</f>
        <v>Ground Floor</v>
      </c>
      <c r="E59" s="853" t="str">
        <f>'Corrected Internal_Parking B123'!F64</f>
        <v>GF-B2-27</v>
      </c>
      <c r="F59" s="854" t="str">
        <f>'Corrected Internal_Parking B123'!G64</f>
        <v>Single Slot</v>
      </c>
      <c r="G59" s="855">
        <f>'Corrected Internal_Parking B123'!H64</f>
        <v>13.5</v>
      </c>
      <c r="H59" s="856">
        <f>'Corrected Internal_Parking B123'!AT64</f>
        <v>869697.30847499997</v>
      </c>
      <c r="I59" s="857">
        <f>'Corrected Internal_Parking B123'!AV64</f>
        <v>86969.730847500003</v>
      </c>
      <c r="J59" s="858">
        <f>'Corrected Internal_Parking B123'!AU64</f>
        <v>104363.67701699999</v>
      </c>
      <c r="K59" s="855">
        <f>'Corrected Internal_Parking B123'!AW64</f>
        <v>1061030.7163394999</v>
      </c>
      <c r="L59" s="859">
        <f>'Corrected Internal_Parking B123'!AX64</f>
        <v>0.15</v>
      </c>
      <c r="M59" s="856">
        <f>'Corrected Internal_Parking B123'!AY64</f>
        <v>159154.60745092499</v>
      </c>
      <c r="N59" s="856">
        <f>'Corrected Internal_Parking B123'!AZ64</f>
        <v>10000</v>
      </c>
      <c r="O59" s="856">
        <f>'Corrected Internal_Parking B123'!BA64</f>
        <v>149154.60745092499</v>
      </c>
      <c r="P59" s="860">
        <f>'Corrected Internal_Parking B123'!BB64</f>
        <v>18</v>
      </c>
      <c r="Q59" s="856">
        <f>'Corrected Internal_Parking B123'!BC64</f>
        <v>8286.367080606944</v>
      </c>
      <c r="R59" s="856">
        <f>'Corrected Internal_Parking B123'!BE64</f>
        <v>901876.10888857488</v>
      </c>
      <c r="S59" s="856">
        <f>'Corrected Internal_Parking B123'!BF64</f>
        <v>8106.317434754329</v>
      </c>
      <c r="T59" s="856">
        <f>'Corrected Internal_Parking B123'!BG64</f>
        <v>10471.546344666263</v>
      </c>
      <c r="U59" s="856">
        <f>'Corrected Internal_Parking B123'!BH64</f>
        <v>17858.227890900569</v>
      </c>
      <c r="W59" s="861">
        <f>H59-'Corrected Internal_Parking B123'!AT64</f>
        <v>0</v>
      </c>
      <c r="X59" s="861">
        <f>J59-'Corrected Internal_Parking B123'!AU64</f>
        <v>0</v>
      </c>
      <c r="Y59" s="861">
        <f>I59-'Corrected Internal_Parking B123'!AV64</f>
        <v>0</v>
      </c>
      <c r="Z59" s="861">
        <f>K59-'Corrected Internal_Parking B123'!AW64</f>
        <v>0</v>
      </c>
      <c r="AA59" s="862">
        <f>L59-'Corrected Internal_Parking B123'!AX64</f>
        <v>0</v>
      </c>
      <c r="AB59" s="861">
        <f>N59-'Corrected Internal_Parking B123'!AZ64</f>
        <v>0</v>
      </c>
      <c r="AC59" s="861">
        <f>Q59-'Corrected Internal_Parking B123'!BC64</f>
        <v>0</v>
      </c>
    </row>
    <row r="60" spans="1:29" ht="12.75" hidden="1" customHeight="1" x14ac:dyDescent="0.3">
      <c r="A60" s="863" t="str">
        <f t="shared" si="0"/>
        <v>GF-B3-1</v>
      </c>
      <c r="B60" s="864" t="str">
        <f>'Corrected Internal_Parking B123'!CA65</f>
        <v>SOLD</v>
      </c>
      <c r="C60" s="822" t="str">
        <f>'Corrected Internal_Parking B123'!C65</f>
        <v>Building 3</v>
      </c>
      <c r="D60" s="852" t="str">
        <f>'Corrected Internal_Parking B123'!E65</f>
        <v>Ground Floor</v>
      </c>
      <c r="E60" s="853" t="str">
        <f>'Corrected Internal_Parking B123'!F65</f>
        <v>GF-B3-1</v>
      </c>
      <c r="F60" s="854" t="str">
        <f>'Corrected Internal_Parking B123'!G65</f>
        <v>Single Slot</v>
      </c>
      <c r="G60" s="855">
        <f>'Corrected Internal_Parking B123'!H65</f>
        <v>13.5</v>
      </c>
      <c r="H60" s="856">
        <f>'Corrected Internal_Parking B123'!AT65</f>
        <v>831235.921875</v>
      </c>
      <c r="I60" s="857">
        <f>'Corrected Internal_Parking B123'!AV65</f>
        <v>83123.592187500006</v>
      </c>
      <c r="J60" s="858">
        <f>'Corrected Internal_Parking B123'!AU65</f>
        <v>99748.310624999998</v>
      </c>
      <c r="K60" s="855">
        <f>'Corrected Internal_Parking B123'!AW65</f>
        <v>1014107.8246875</v>
      </c>
      <c r="L60" s="859">
        <f>'Corrected Internal_Parking B123'!AX65</f>
        <v>0.15</v>
      </c>
      <c r="M60" s="856">
        <f>'Corrected Internal_Parking B123'!AY65</f>
        <v>152116.17370312501</v>
      </c>
      <c r="N60" s="856">
        <f>'Corrected Internal_Parking B123'!AZ65</f>
        <v>10000</v>
      </c>
      <c r="O60" s="856">
        <f>'Corrected Internal_Parking B123'!BA65</f>
        <v>142116.17370312501</v>
      </c>
      <c r="P60" s="860">
        <f>'Corrected Internal_Parking B123'!BB65</f>
        <v>31</v>
      </c>
      <c r="Q60" s="856">
        <f>'Corrected Internal_Parking B123'!BC65</f>
        <v>4584.3927001008069</v>
      </c>
      <c r="R60" s="856">
        <f>'Corrected Internal_Parking B123'!BE65</f>
        <v>861991.65098437504</v>
      </c>
      <c r="S60" s="856">
        <f>'Corrected Internal_Parking B123'!BF65</f>
        <v>7747.8246514351467</v>
      </c>
      <c r="T60" s="856">
        <f>'Corrected Internal_Parking B123'!BG65</f>
        <v>10008.453969494676</v>
      </c>
      <c r="U60" s="856">
        <f>'Corrected Internal_Parking B123'!BH65</f>
        <v>17068.467821265294</v>
      </c>
      <c r="W60" s="861">
        <f>H60-'Corrected Internal_Parking B123'!AT65</f>
        <v>0</v>
      </c>
      <c r="X60" s="861">
        <f>J60-'Corrected Internal_Parking B123'!AU65</f>
        <v>0</v>
      </c>
      <c r="Y60" s="861">
        <f>I60-'Corrected Internal_Parking B123'!AV65</f>
        <v>0</v>
      </c>
      <c r="Z60" s="861">
        <f>K60-'Corrected Internal_Parking B123'!AW65</f>
        <v>0</v>
      </c>
      <c r="AA60" s="862">
        <f>L60-'Corrected Internal_Parking B123'!AX65</f>
        <v>0</v>
      </c>
      <c r="AB60" s="861">
        <f>N60-'Corrected Internal_Parking B123'!AZ65</f>
        <v>0</v>
      </c>
      <c r="AC60" s="861">
        <f>Q60-'Corrected Internal_Parking B123'!BC65</f>
        <v>0</v>
      </c>
    </row>
    <row r="61" spans="1:29" ht="12.75" hidden="1" customHeight="1" x14ac:dyDescent="0.3">
      <c r="A61" s="863" t="str">
        <f t="shared" si="0"/>
        <v>GF-B3-2</v>
      </c>
      <c r="B61" s="864" t="str">
        <f>'Corrected Internal_Parking B123'!CA66</f>
        <v>SOLD</v>
      </c>
      <c r="C61" s="822" t="str">
        <f>'Corrected Internal_Parking B123'!C66</f>
        <v>Building 3</v>
      </c>
      <c r="D61" s="852" t="str">
        <f>'Corrected Internal_Parking B123'!E66</f>
        <v>Ground Floor</v>
      </c>
      <c r="E61" s="853" t="str">
        <f>'Corrected Internal_Parking B123'!F66</f>
        <v>GF-B3-2</v>
      </c>
      <c r="F61" s="854" t="str">
        <f>'Corrected Internal_Parking B123'!G66</f>
        <v>Single Slot</v>
      </c>
      <c r="G61" s="855">
        <f>'Corrected Internal_Parking B123'!H66</f>
        <v>13.5</v>
      </c>
      <c r="H61" s="856">
        <f>'Corrected Internal_Parking B123'!AT66</f>
        <v>831235.921875</v>
      </c>
      <c r="I61" s="857">
        <f>'Corrected Internal_Parking B123'!AV66</f>
        <v>83123.592187500006</v>
      </c>
      <c r="J61" s="858">
        <f>'Corrected Internal_Parking B123'!AU66</f>
        <v>99748.310624999998</v>
      </c>
      <c r="K61" s="855">
        <f>'Corrected Internal_Parking B123'!AW66</f>
        <v>1014107.8246875</v>
      </c>
      <c r="L61" s="859">
        <f>'Corrected Internal_Parking B123'!AX66</f>
        <v>0.15</v>
      </c>
      <c r="M61" s="856">
        <f>'Corrected Internal_Parking B123'!AY66</f>
        <v>152116.17370312501</v>
      </c>
      <c r="N61" s="856">
        <f>'Corrected Internal_Parking B123'!AZ66</f>
        <v>10000</v>
      </c>
      <c r="O61" s="856">
        <f>'Corrected Internal_Parking B123'!BA66</f>
        <v>142116.17370312501</v>
      </c>
      <c r="P61" s="860">
        <f>'Corrected Internal_Parking B123'!BB66</f>
        <v>31</v>
      </c>
      <c r="Q61" s="856">
        <f>'Corrected Internal_Parking B123'!BC66</f>
        <v>4584.3927001008069</v>
      </c>
      <c r="R61" s="856">
        <f>'Corrected Internal_Parking B123'!BE66</f>
        <v>861991.65098437504</v>
      </c>
      <c r="S61" s="856">
        <f>'Corrected Internal_Parking B123'!BF66</f>
        <v>7747.8246514351467</v>
      </c>
      <c r="T61" s="856">
        <f>'Corrected Internal_Parking B123'!BG66</f>
        <v>10008.453969494676</v>
      </c>
      <c r="U61" s="856">
        <f>'Corrected Internal_Parking B123'!BH66</f>
        <v>17068.467821265294</v>
      </c>
      <c r="W61" s="861">
        <f>H61-'Corrected Internal_Parking B123'!AT66</f>
        <v>0</v>
      </c>
      <c r="X61" s="861">
        <f>J61-'Corrected Internal_Parking B123'!AU66</f>
        <v>0</v>
      </c>
      <c r="Y61" s="861">
        <f>I61-'Corrected Internal_Parking B123'!AV66</f>
        <v>0</v>
      </c>
      <c r="Z61" s="861">
        <f>K61-'Corrected Internal_Parking B123'!AW66</f>
        <v>0</v>
      </c>
      <c r="AA61" s="862">
        <f>L61-'Corrected Internal_Parking B123'!AX66</f>
        <v>0</v>
      </c>
      <c r="AB61" s="861">
        <f>N61-'Corrected Internal_Parking B123'!AZ66</f>
        <v>0</v>
      </c>
      <c r="AC61" s="861">
        <f>Q61-'Corrected Internal_Parking B123'!BC66</f>
        <v>0</v>
      </c>
    </row>
    <row r="62" spans="1:29" hidden="1" x14ac:dyDescent="0.3">
      <c r="A62" s="863" t="str">
        <f t="shared" si="0"/>
        <v>GF-B3-3</v>
      </c>
      <c r="B62" s="864" t="str">
        <f>'Corrected Internal_Parking B123'!CA67</f>
        <v>SOLD</v>
      </c>
      <c r="C62" s="822" t="str">
        <f>'Corrected Internal_Parking B123'!C67</f>
        <v>Building 3</v>
      </c>
      <c r="D62" s="852" t="str">
        <f>'Corrected Internal_Parking B123'!E67</f>
        <v>Ground Floor</v>
      </c>
      <c r="E62" s="853" t="str">
        <f>'Corrected Internal_Parking B123'!F67</f>
        <v>GF-B3-3</v>
      </c>
      <c r="F62" s="854" t="str">
        <f>'Corrected Internal_Parking B123'!G67</f>
        <v>Single Slot</v>
      </c>
      <c r="G62" s="855">
        <f>'Corrected Internal_Parking B123'!H67</f>
        <v>13.5</v>
      </c>
      <c r="H62" s="856">
        <f>'Corrected Internal_Parking B123'!AT67</f>
        <v>831235.921875</v>
      </c>
      <c r="I62" s="857">
        <f>'Corrected Internal_Parking B123'!AV67</f>
        <v>83123.592187500006</v>
      </c>
      <c r="J62" s="858">
        <f>'Corrected Internal_Parking B123'!AU67</f>
        <v>99748.310624999998</v>
      </c>
      <c r="K62" s="855">
        <f>'Corrected Internal_Parking B123'!AW67</f>
        <v>1014107.8246875</v>
      </c>
      <c r="L62" s="859">
        <f>'Corrected Internal_Parking B123'!AX67</f>
        <v>0.15</v>
      </c>
      <c r="M62" s="856">
        <f>'Corrected Internal_Parking B123'!AY67</f>
        <v>152116.17370312501</v>
      </c>
      <c r="N62" s="856">
        <f>'Corrected Internal_Parking B123'!AZ67</f>
        <v>10000</v>
      </c>
      <c r="O62" s="856">
        <f>'Corrected Internal_Parking B123'!BA67</f>
        <v>142116.17370312501</v>
      </c>
      <c r="P62" s="860">
        <f>'Corrected Internal_Parking B123'!BB67</f>
        <v>31</v>
      </c>
      <c r="Q62" s="856">
        <f>'Corrected Internal_Parking B123'!BC67</f>
        <v>4584.3927001008069</v>
      </c>
      <c r="R62" s="856">
        <f>'Corrected Internal_Parking B123'!BE67</f>
        <v>861991.65098437504</v>
      </c>
      <c r="S62" s="856">
        <f>'Corrected Internal_Parking B123'!BF67</f>
        <v>7747.8246514351467</v>
      </c>
      <c r="T62" s="856">
        <f>'Corrected Internal_Parking B123'!BG67</f>
        <v>10008.453969494676</v>
      </c>
      <c r="U62" s="856">
        <f>'Corrected Internal_Parking B123'!BH67</f>
        <v>17068.467821265294</v>
      </c>
      <c r="W62" s="861">
        <f>H62-'Corrected Internal_Parking B123'!AT67</f>
        <v>0</v>
      </c>
      <c r="X62" s="861">
        <f>J62-'Corrected Internal_Parking B123'!AU67</f>
        <v>0</v>
      </c>
      <c r="Y62" s="861">
        <f>I62-'Corrected Internal_Parking B123'!AV67</f>
        <v>0</v>
      </c>
      <c r="Z62" s="861">
        <f>K62-'Corrected Internal_Parking B123'!AW67</f>
        <v>0</v>
      </c>
      <c r="AA62" s="862">
        <f>L62-'Corrected Internal_Parking B123'!AX67</f>
        <v>0</v>
      </c>
      <c r="AB62" s="861">
        <f>N62-'Corrected Internal_Parking B123'!AZ67</f>
        <v>0</v>
      </c>
      <c r="AC62" s="861">
        <f>Q62-'Corrected Internal_Parking B123'!BC67</f>
        <v>0</v>
      </c>
    </row>
    <row r="63" spans="1:29" ht="12.75" customHeight="1" x14ac:dyDescent="0.3">
      <c r="A63" s="863" t="str">
        <f t="shared" si="0"/>
        <v>GF-B3-4</v>
      </c>
      <c r="B63" s="864" t="str">
        <f>'Corrected Internal_Parking B123'!CA68</f>
        <v>UNSOLD</v>
      </c>
      <c r="C63" s="822" t="str">
        <f>'Corrected Internal_Parking B123'!C68</f>
        <v>Building 3</v>
      </c>
      <c r="D63" s="852" t="str">
        <f>'Corrected Internal_Parking B123'!E68</f>
        <v>Ground Floor</v>
      </c>
      <c r="E63" s="853" t="str">
        <f>'Corrected Internal_Parking B123'!F68</f>
        <v>GF-B3-4</v>
      </c>
      <c r="F63" s="854" t="str">
        <f>'Corrected Internal_Parking B123'!G68</f>
        <v>Single Slot</v>
      </c>
      <c r="G63" s="855">
        <f>'Corrected Internal_Parking B123'!H68</f>
        <v>13.5</v>
      </c>
      <c r="H63" s="856">
        <f>'Corrected Internal_Parking B123'!AT68</f>
        <v>832974.79803499999</v>
      </c>
      <c r="I63" s="857">
        <f>'Corrected Internal_Parking B123'!AV68</f>
        <v>83297.479803499999</v>
      </c>
      <c r="J63" s="858">
        <f>'Corrected Internal_Parking B123'!AU68</f>
        <v>99956.975764199989</v>
      </c>
      <c r="K63" s="855">
        <f>'Corrected Internal_Parking B123'!AW68</f>
        <v>1016229.2536027</v>
      </c>
      <c r="L63" s="859">
        <f>'Corrected Internal_Parking B123'!AX68</f>
        <v>0.15</v>
      </c>
      <c r="M63" s="856">
        <f>'Corrected Internal_Parking B123'!AY68</f>
        <v>152434.388040405</v>
      </c>
      <c r="N63" s="856">
        <f>'Corrected Internal_Parking B123'!AZ68</f>
        <v>10000</v>
      </c>
      <c r="O63" s="856">
        <f>'Corrected Internal_Parking B123'!BA68</f>
        <v>142434.388040405</v>
      </c>
      <c r="P63" s="860">
        <f>'Corrected Internal_Parking B123'!BB68</f>
        <v>31</v>
      </c>
      <c r="Q63" s="856">
        <f>'Corrected Internal_Parking B123'!BC68</f>
        <v>4594.6576787227423</v>
      </c>
      <c r="R63" s="856">
        <f>'Corrected Internal_Parking B123'!BE68</f>
        <v>863794.86556229496</v>
      </c>
      <c r="S63" s="856">
        <f>'Corrected Internal_Parking B123'!BF68</f>
        <v>7764.0324538456225</v>
      </c>
      <c r="T63" s="856">
        <f>'Corrected Internal_Parking B123'!BG68</f>
        <v>10029.390819729388</v>
      </c>
      <c r="U63" s="856">
        <f>'Corrected Internal_Parking B123'!BH68</f>
        <v>17104.173631133537</v>
      </c>
      <c r="W63" s="861">
        <f>H63-'Corrected Internal_Parking B123'!AT68</f>
        <v>0</v>
      </c>
      <c r="X63" s="861">
        <f>J63-'Corrected Internal_Parking B123'!AU68</f>
        <v>0</v>
      </c>
      <c r="Y63" s="861">
        <f>I63-'Corrected Internal_Parking B123'!AV68</f>
        <v>0</v>
      </c>
      <c r="Z63" s="861">
        <f>K63-'Corrected Internal_Parking B123'!AW68</f>
        <v>0</v>
      </c>
      <c r="AA63" s="862">
        <f>L63-'Corrected Internal_Parking B123'!AX68</f>
        <v>0</v>
      </c>
      <c r="AB63" s="861">
        <f>N63-'Corrected Internal_Parking B123'!AZ68</f>
        <v>0</v>
      </c>
      <c r="AC63" s="861">
        <f>Q63-'Corrected Internal_Parking B123'!BC68</f>
        <v>0</v>
      </c>
    </row>
    <row r="64" spans="1:29" x14ac:dyDescent="0.3">
      <c r="A64" s="863" t="str">
        <f t="shared" si="0"/>
        <v>GF-B3-5</v>
      </c>
      <c r="B64" s="864" t="str">
        <f>'Corrected Internal_Parking B123'!CA69</f>
        <v>UNSOLD</v>
      </c>
      <c r="C64" s="822" t="str">
        <f>'Corrected Internal_Parking B123'!C69</f>
        <v>Building 3</v>
      </c>
      <c r="D64" s="852" t="str">
        <f>'Corrected Internal_Parking B123'!E69</f>
        <v>Ground Floor</v>
      </c>
      <c r="E64" s="853" t="str">
        <f>'Corrected Internal_Parking B123'!F69</f>
        <v>GF-B3-5</v>
      </c>
      <c r="F64" s="854" t="str">
        <f>'Corrected Internal_Parking B123'!G69</f>
        <v>Single Slot</v>
      </c>
      <c r="G64" s="855">
        <f>'Corrected Internal_Parking B123'!H69</f>
        <v>13.5</v>
      </c>
      <c r="H64" s="856">
        <f>'Corrected Internal_Parking B123'!AT69</f>
        <v>832974.79803499999</v>
      </c>
      <c r="I64" s="857">
        <f>'Corrected Internal_Parking B123'!AV69</f>
        <v>83297.479803499999</v>
      </c>
      <c r="J64" s="858">
        <f>'Corrected Internal_Parking B123'!AU69</f>
        <v>99956.975764199989</v>
      </c>
      <c r="K64" s="855">
        <f>'Corrected Internal_Parking B123'!AW69</f>
        <v>1016229.2536027</v>
      </c>
      <c r="L64" s="859">
        <f>'Corrected Internal_Parking B123'!AX69</f>
        <v>0.15</v>
      </c>
      <c r="M64" s="856">
        <f>'Corrected Internal_Parking B123'!AY69</f>
        <v>152434.388040405</v>
      </c>
      <c r="N64" s="856">
        <f>'Corrected Internal_Parking B123'!AZ69</f>
        <v>10000</v>
      </c>
      <c r="O64" s="856">
        <f>'Corrected Internal_Parking B123'!BA69</f>
        <v>142434.388040405</v>
      </c>
      <c r="P64" s="860">
        <f>'Corrected Internal_Parking B123'!BB69</f>
        <v>31</v>
      </c>
      <c r="Q64" s="856">
        <f>'Corrected Internal_Parking B123'!BC69</f>
        <v>4594.6576787227423</v>
      </c>
      <c r="R64" s="856">
        <f>'Corrected Internal_Parking B123'!BE69</f>
        <v>863794.86556229496</v>
      </c>
      <c r="S64" s="856">
        <f>'Corrected Internal_Parking B123'!BF69</f>
        <v>7764.0324538456225</v>
      </c>
      <c r="T64" s="856">
        <f>'Corrected Internal_Parking B123'!BG69</f>
        <v>10029.390819729388</v>
      </c>
      <c r="U64" s="856">
        <f>'Corrected Internal_Parking B123'!BH69</f>
        <v>17104.173631133537</v>
      </c>
      <c r="W64" s="861">
        <f>H64-'Corrected Internal_Parking B123'!AT69</f>
        <v>0</v>
      </c>
      <c r="X64" s="861">
        <f>J64-'Corrected Internal_Parking B123'!AU69</f>
        <v>0</v>
      </c>
      <c r="Y64" s="861">
        <f>I64-'Corrected Internal_Parking B123'!AV69</f>
        <v>0</v>
      </c>
      <c r="Z64" s="861">
        <f>K64-'Corrected Internal_Parking B123'!AW69</f>
        <v>0</v>
      </c>
      <c r="AA64" s="862">
        <f>L64-'Corrected Internal_Parking B123'!AX69</f>
        <v>0</v>
      </c>
      <c r="AB64" s="861">
        <f>N64-'Corrected Internal_Parking B123'!AZ69</f>
        <v>0</v>
      </c>
      <c r="AC64" s="861">
        <f>Q64-'Corrected Internal_Parking B123'!BC69</f>
        <v>0</v>
      </c>
    </row>
    <row r="65" spans="1:29" ht="12.75" hidden="1" customHeight="1" x14ac:dyDescent="0.3">
      <c r="A65" s="863" t="str">
        <f t="shared" si="0"/>
        <v>GF-B3-6</v>
      </c>
      <c r="B65" s="864" t="str">
        <f>'Corrected Internal_Parking B123'!CA70</f>
        <v>SOLD</v>
      </c>
      <c r="C65" s="822" t="str">
        <f>'Corrected Internal_Parking B123'!C70</f>
        <v>Building 3</v>
      </c>
      <c r="D65" s="852" t="str">
        <f>'Corrected Internal_Parking B123'!E70</f>
        <v>Ground Floor</v>
      </c>
      <c r="E65" s="853" t="str">
        <f>'Corrected Internal_Parking B123'!F70</f>
        <v>GF-B3-6</v>
      </c>
      <c r="F65" s="854" t="str">
        <f>'Corrected Internal_Parking B123'!G70</f>
        <v>Single Slot</v>
      </c>
      <c r="G65" s="855">
        <f>'Corrected Internal_Parking B123'!H70</f>
        <v>13.5</v>
      </c>
      <c r="H65" s="856">
        <f>'Corrected Internal_Parking B123'!AT70</f>
        <v>831235.921875</v>
      </c>
      <c r="I65" s="857">
        <f>'Corrected Internal_Parking B123'!AV70</f>
        <v>83123.592187500006</v>
      </c>
      <c r="J65" s="858">
        <f>'Corrected Internal_Parking B123'!AU70</f>
        <v>99748.310624999998</v>
      </c>
      <c r="K65" s="855">
        <f>'Corrected Internal_Parking B123'!AW70</f>
        <v>1014107.8246875</v>
      </c>
      <c r="L65" s="859">
        <f>'Corrected Internal_Parking B123'!AX70</f>
        <v>0.15</v>
      </c>
      <c r="M65" s="856">
        <f>'Corrected Internal_Parking B123'!AY70</f>
        <v>152116.17370312501</v>
      </c>
      <c r="N65" s="856">
        <f>'Corrected Internal_Parking B123'!AZ70</f>
        <v>10000</v>
      </c>
      <c r="O65" s="856">
        <f>'Corrected Internal_Parking B123'!BA70</f>
        <v>142116.17370312501</v>
      </c>
      <c r="P65" s="860">
        <f>'Corrected Internal_Parking B123'!BB70</f>
        <v>31</v>
      </c>
      <c r="Q65" s="856">
        <f>'Corrected Internal_Parking B123'!BC70</f>
        <v>4584.3927001008069</v>
      </c>
      <c r="R65" s="856">
        <f>'Corrected Internal_Parking B123'!BE70</f>
        <v>861991.65098437504</v>
      </c>
      <c r="S65" s="856">
        <f>'Corrected Internal_Parking B123'!BF70</f>
        <v>7747.8246514351467</v>
      </c>
      <c r="T65" s="856">
        <f>'Corrected Internal_Parking B123'!BG70</f>
        <v>10008.453969494676</v>
      </c>
      <c r="U65" s="856">
        <f>'Corrected Internal_Parking B123'!BH70</f>
        <v>17068.467821265294</v>
      </c>
      <c r="W65" s="861">
        <f>H65-'Corrected Internal_Parking B123'!AT70</f>
        <v>0</v>
      </c>
      <c r="X65" s="861">
        <f>J65-'Corrected Internal_Parking B123'!AU70</f>
        <v>0</v>
      </c>
      <c r="Y65" s="861">
        <f>I65-'Corrected Internal_Parking B123'!AV70</f>
        <v>0</v>
      </c>
      <c r="Z65" s="861">
        <f>K65-'Corrected Internal_Parking B123'!AW70</f>
        <v>0</v>
      </c>
      <c r="AA65" s="862">
        <f>L65-'Corrected Internal_Parking B123'!AX70</f>
        <v>0</v>
      </c>
      <c r="AB65" s="861">
        <f>N65-'Corrected Internal_Parking B123'!AZ70</f>
        <v>0</v>
      </c>
      <c r="AC65" s="861">
        <f>Q65-'Corrected Internal_Parking B123'!BC70</f>
        <v>0</v>
      </c>
    </row>
    <row r="66" spans="1:29" hidden="1" x14ac:dyDescent="0.3">
      <c r="A66" s="863" t="str">
        <f t="shared" si="0"/>
        <v>GF-B3-7</v>
      </c>
      <c r="B66" s="864" t="str">
        <f>'Corrected Internal_Parking B123'!CA71</f>
        <v>SOLD</v>
      </c>
      <c r="C66" s="822" t="str">
        <f>'Corrected Internal_Parking B123'!C71</f>
        <v>Building 3</v>
      </c>
      <c r="D66" s="852" t="str">
        <f>'Corrected Internal_Parking B123'!E71</f>
        <v>Ground Floor</v>
      </c>
      <c r="E66" s="853" t="str">
        <f>'Corrected Internal_Parking B123'!F71</f>
        <v>GF-B3-7</v>
      </c>
      <c r="F66" s="854" t="str">
        <f>'Corrected Internal_Parking B123'!G71</f>
        <v>Single Slot</v>
      </c>
      <c r="G66" s="855">
        <f>'Corrected Internal_Parking B123'!H71</f>
        <v>13.5</v>
      </c>
      <c r="H66" s="856">
        <f>'Corrected Internal_Parking B123'!AT71</f>
        <v>831235.921875</v>
      </c>
      <c r="I66" s="857">
        <f>'Corrected Internal_Parking B123'!AV71</f>
        <v>83123.592187500006</v>
      </c>
      <c r="J66" s="858">
        <f>'Corrected Internal_Parking B123'!AU71</f>
        <v>99748.310624999998</v>
      </c>
      <c r="K66" s="855">
        <f>'Corrected Internal_Parking B123'!AW71</f>
        <v>1014107.8246875</v>
      </c>
      <c r="L66" s="859">
        <f>'Corrected Internal_Parking B123'!AX71</f>
        <v>0.15</v>
      </c>
      <c r="M66" s="856">
        <f>'Corrected Internal_Parking B123'!AY71</f>
        <v>152116.17370312501</v>
      </c>
      <c r="N66" s="856">
        <f>'Corrected Internal_Parking B123'!AZ71</f>
        <v>10000</v>
      </c>
      <c r="O66" s="856">
        <f>'Corrected Internal_Parking B123'!BA71</f>
        <v>142116.17370312501</v>
      </c>
      <c r="P66" s="860">
        <f>'Corrected Internal_Parking B123'!BB71</f>
        <v>31</v>
      </c>
      <c r="Q66" s="856">
        <f>'Corrected Internal_Parking B123'!BC71</f>
        <v>4584.3927001008069</v>
      </c>
      <c r="R66" s="856">
        <f>'Corrected Internal_Parking B123'!BE71</f>
        <v>861991.65098437504</v>
      </c>
      <c r="S66" s="856">
        <f>'Corrected Internal_Parking B123'!BF71</f>
        <v>7747.8246514351467</v>
      </c>
      <c r="T66" s="856">
        <f>'Corrected Internal_Parking B123'!BG71</f>
        <v>10008.453969494676</v>
      </c>
      <c r="U66" s="856">
        <f>'Corrected Internal_Parking B123'!BH71</f>
        <v>17068.467821265294</v>
      </c>
      <c r="W66" s="861">
        <f>H66-'Corrected Internal_Parking B123'!AT71</f>
        <v>0</v>
      </c>
      <c r="X66" s="861">
        <f>J66-'Corrected Internal_Parking B123'!AU71</f>
        <v>0</v>
      </c>
      <c r="Y66" s="861">
        <f>I66-'Corrected Internal_Parking B123'!AV71</f>
        <v>0</v>
      </c>
      <c r="Z66" s="861">
        <f>K66-'Corrected Internal_Parking B123'!AW71</f>
        <v>0</v>
      </c>
      <c r="AA66" s="862">
        <f>L66-'Corrected Internal_Parking B123'!AX71</f>
        <v>0</v>
      </c>
      <c r="AB66" s="861">
        <f>N66-'Corrected Internal_Parking B123'!AZ71</f>
        <v>0</v>
      </c>
      <c r="AC66" s="861">
        <f>Q66-'Corrected Internal_Parking B123'!BC71</f>
        <v>0</v>
      </c>
    </row>
    <row r="67" spans="1:29" ht="12.75" customHeight="1" x14ac:dyDescent="0.3">
      <c r="A67" s="863" t="str">
        <f t="shared" si="0"/>
        <v>GF-B3-8</v>
      </c>
      <c r="B67" s="864" t="str">
        <f>'Corrected Internal_Parking B123'!CA72</f>
        <v>UNSOLD</v>
      </c>
      <c r="C67" s="822" t="str">
        <f>'Corrected Internal_Parking B123'!C72</f>
        <v>Building 3</v>
      </c>
      <c r="D67" s="852" t="str">
        <f>'Corrected Internal_Parking B123'!E72</f>
        <v>Ground Floor</v>
      </c>
      <c r="E67" s="853" t="str">
        <f>'Corrected Internal_Parking B123'!F72</f>
        <v>GF-B3-8</v>
      </c>
      <c r="F67" s="854" t="str">
        <f>'Corrected Internal_Parking B123'!G72</f>
        <v>Single Slot</v>
      </c>
      <c r="G67" s="855">
        <f>'Corrected Internal_Parking B123'!H72</f>
        <v>13.5</v>
      </c>
      <c r="H67" s="856">
        <f>'Corrected Internal_Parking B123'!AT72</f>
        <v>832974.79803499999</v>
      </c>
      <c r="I67" s="857">
        <f>'Corrected Internal_Parking B123'!AV72</f>
        <v>83297.479803499999</v>
      </c>
      <c r="J67" s="858">
        <f>'Corrected Internal_Parking B123'!AU72</f>
        <v>99956.975764199989</v>
      </c>
      <c r="K67" s="855">
        <f>'Corrected Internal_Parking B123'!AW72</f>
        <v>1016229.2536027</v>
      </c>
      <c r="L67" s="859">
        <f>'Corrected Internal_Parking B123'!AX72</f>
        <v>0.15</v>
      </c>
      <c r="M67" s="856">
        <f>'Corrected Internal_Parking B123'!AY72</f>
        <v>152434.388040405</v>
      </c>
      <c r="N67" s="856">
        <f>'Corrected Internal_Parking B123'!AZ72</f>
        <v>10000</v>
      </c>
      <c r="O67" s="856">
        <f>'Corrected Internal_Parking B123'!BA72</f>
        <v>142434.388040405</v>
      </c>
      <c r="P67" s="860">
        <f>'Corrected Internal_Parking B123'!BB72</f>
        <v>31</v>
      </c>
      <c r="Q67" s="856">
        <f>'Corrected Internal_Parking B123'!BC72</f>
        <v>4594.6576787227423</v>
      </c>
      <c r="R67" s="856">
        <f>'Corrected Internal_Parking B123'!BE72</f>
        <v>863794.86556229496</v>
      </c>
      <c r="S67" s="856">
        <f>'Corrected Internal_Parking B123'!BF72</f>
        <v>7764.0324538456225</v>
      </c>
      <c r="T67" s="856">
        <f>'Corrected Internal_Parking B123'!BG72</f>
        <v>10029.390819729388</v>
      </c>
      <c r="U67" s="856">
        <f>'Corrected Internal_Parking B123'!BH72</f>
        <v>17104.173631133537</v>
      </c>
      <c r="W67" s="861">
        <f>H67-'Corrected Internal_Parking B123'!AT72</f>
        <v>0</v>
      </c>
      <c r="X67" s="861">
        <f>J67-'Corrected Internal_Parking B123'!AU72</f>
        <v>0</v>
      </c>
      <c r="Y67" s="861">
        <f>I67-'Corrected Internal_Parking B123'!AV72</f>
        <v>0</v>
      </c>
      <c r="Z67" s="861">
        <f>K67-'Corrected Internal_Parking B123'!AW72</f>
        <v>0</v>
      </c>
      <c r="AA67" s="862">
        <f>L67-'Corrected Internal_Parking B123'!AX72</f>
        <v>0</v>
      </c>
      <c r="AB67" s="861">
        <f>N67-'Corrected Internal_Parking B123'!AZ72</f>
        <v>0</v>
      </c>
      <c r="AC67" s="861">
        <f>Q67-'Corrected Internal_Parking B123'!BC72</f>
        <v>0</v>
      </c>
    </row>
    <row r="68" spans="1:29" ht="12.75" hidden="1" customHeight="1" x14ac:dyDescent="0.3">
      <c r="A68" s="863" t="str">
        <f t="shared" si="0"/>
        <v>GF-B3-9</v>
      </c>
      <c r="B68" s="864" t="str">
        <f>'Corrected Internal_Parking B123'!CA73</f>
        <v>SOLD</v>
      </c>
      <c r="C68" s="822" t="str">
        <f>'Corrected Internal_Parking B123'!C73</f>
        <v>Building 3</v>
      </c>
      <c r="D68" s="852" t="str">
        <f>'Corrected Internal_Parking B123'!E73</f>
        <v>Ground Floor</v>
      </c>
      <c r="E68" s="853" t="str">
        <f>'Corrected Internal_Parking B123'!F73</f>
        <v>GF-B3-9</v>
      </c>
      <c r="F68" s="854" t="str">
        <f>'Corrected Internal_Parking B123'!G73</f>
        <v>Single Slot</v>
      </c>
      <c r="G68" s="855">
        <f>'Corrected Internal_Parking B123'!H73</f>
        <v>13.5</v>
      </c>
      <c r="H68" s="856">
        <f>'Corrected Internal_Parking B123'!AT73</f>
        <v>831235.921875</v>
      </c>
      <c r="I68" s="857">
        <f>'Corrected Internal_Parking B123'!AV73</f>
        <v>83123.592187500006</v>
      </c>
      <c r="J68" s="858">
        <f>'Corrected Internal_Parking B123'!AU73</f>
        <v>99748.310624999998</v>
      </c>
      <c r="K68" s="855">
        <f>'Corrected Internal_Parking B123'!AW73</f>
        <v>1014107.8246875</v>
      </c>
      <c r="L68" s="859">
        <f>'Corrected Internal_Parking B123'!AX73</f>
        <v>0.15</v>
      </c>
      <c r="M68" s="856">
        <f>'Corrected Internal_Parking B123'!AY73</f>
        <v>152116.17370312501</v>
      </c>
      <c r="N68" s="856">
        <f>'Corrected Internal_Parking B123'!AZ73</f>
        <v>10000</v>
      </c>
      <c r="O68" s="856">
        <f>'Corrected Internal_Parking B123'!BA73</f>
        <v>142116.17370312501</v>
      </c>
      <c r="P68" s="860">
        <f>'Corrected Internal_Parking B123'!BB73</f>
        <v>31</v>
      </c>
      <c r="Q68" s="856">
        <f>'Corrected Internal_Parking B123'!BC73</f>
        <v>4584.3927001008069</v>
      </c>
      <c r="R68" s="856">
        <f>'Corrected Internal_Parking B123'!BE73</f>
        <v>861991.65098437504</v>
      </c>
      <c r="S68" s="856">
        <f>'Corrected Internal_Parking B123'!BF73</f>
        <v>7747.8246514351467</v>
      </c>
      <c r="T68" s="856">
        <f>'Corrected Internal_Parking B123'!BG73</f>
        <v>10008.453969494676</v>
      </c>
      <c r="U68" s="856">
        <f>'Corrected Internal_Parking B123'!BH73</f>
        <v>17068.467821265294</v>
      </c>
      <c r="W68" s="861">
        <f>H68-'Corrected Internal_Parking B123'!AT73</f>
        <v>0</v>
      </c>
      <c r="X68" s="861">
        <f>J68-'Corrected Internal_Parking B123'!AU73</f>
        <v>0</v>
      </c>
      <c r="Y68" s="861">
        <f>I68-'Corrected Internal_Parking B123'!AV73</f>
        <v>0</v>
      </c>
      <c r="Z68" s="861">
        <f>K68-'Corrected Internal_Parking B123'!AW73</f>
        <v>0</v>
      </c>
      <c r="AA68" s="862">
        <f>L68-'Corrected Internal_Parking B123'!AX73</f>
        <v>0</v>
      </c>
      <c r="AB68" s="861">
        <f>N68-'Corrected Internal_Parking B123'!AZ73</f>
        <v>0</v>
      </c>
      <c r="AC68" s="861">
        <f>Q68-'Corrected Internal_Parking B123'!BC73</f>
        <v>0</v>
      </c>
    </row>
    <row r="69" spans="1:29" ht="12.75" hidden="1" customHeight="1" x14ac:dyDescent="0.3">
      <c r="A69" s="863" t="str">
        <f t="shared" si="0"/>
        <v>GF-B3-10</v>
      </c>
      <c r="B69" s="864" t="str">
        <f>'Corrected Internal_Parking B123'!CA74</f>
        <v>SOLD</v>
      </c>
      <c r="C69" s="822" t="str">
        <f>'Corrected Internal_Parking B123'!C74</f>
        <v>Building 3</v>
      </c>
      <c r="D69" s="852" t="str">
        <f>'Corrected Internal_Parking B123'!E74</f>
        <v>Ground Floor</v>
      </c>
      <c r="E69" s="853" t="str">
        <f>'Corrected Internal_Parking B123'!F74</f>
        <v>GF-B3-10</v>
      </c>
      <c r="F69" s="854" t="str">
        <f>'Corrected Internal_Parking B123'!G74</f>
        <v>Single Slot</v>
      </c>
      <c r="G69" s="855">
        <f>'Corrected Internal_Parking B123'!H74</f>
        <v>13.5</v>
      </c>
      <c r="H69" s="856">
        <f>'Corrected Internal_Parking B123'!AT74</f>
        <v>831235.921875</v>
      </c>
      <c r="I69" s="857">
        <f>'Corrected Internal_Parking B123'!AV74</f>
        <v>83123.592187500006</v>
      </c>
      <c r="J69" s="858">
        <f>'Corrected Internal_Parking B123'!AU74</f>
        <v>99748.310624999998</v>
      </c>
      <c r="K69" s="855">
        <f>'Corrected Internal_Parking B123'!AW74</f>
        <v>1014107.8246875</v>
      </c>
      <c r="L69" s="859">
        <f>'Corrected Internal_Parking B123'!AX74</f>
        <v>0.15</v>
      </c>
      <c r="M69" s="856">
        <f>'Corrected Internal_Parking B123'!AY74</f>
        <v>152116.17370312501</v>
      </c>
      <c r="N69" s="856">
        <f>'Corrected Internal_Parking B123'!AZ74</f>
        <v>10000</v>
      </c>
      <c r="O69" s="856">
        <f>'Corrected Internal_Parking B123'!BA74</f>
        <v>142116.17370312501</v>
      </c>
      <c r="P69" s="860">
        <f>'Corrected Internal_Parking B123'!BB74</f>
        <v>31</v>
      </c>
      <c r="Q69" s="856">
        <f>'Corrected Internal_Parking B123'!BC74</f>
        <v>4584.3927001008069</v>
      </c>
      <c r="R69" s="856">
        <f>'Corrected Internal_Parking B123'!BE74</f>
        <v>861991.65098437504</v>
      </c>
      <c r="S69" s="856">
        <f>'Corrected Internal_Parking B123'!BF74</f>
        <v>7747.8246514351467</v>
      </c>
      <c r="T69" s="856">
        <f>'Corrected Internal_Parking B123'!BG74</f>
        <v>10008.453969494676</v>
      </c>
      <c r="U69" s="856">
        <f>'Corrected Internal_Parking B123'!BH74</f>
        <v>17068.467821265294</v>
      </c>
      <c r="W69" s="861">
        <f>H69-'Corrected Internal_Parking B123'!AT74</f>
        <v>0</v>
      </c>
      <c r="X69" s="861">
        <f>J69-'Corrected Internal_Parking B123'!AU74</f>
        <v>0</v>
      </c>
      <c r="Y69" s="861">
        <f>I69-'Corrected Internal_Parking B123'!AV74</f>
        <v>0</v>
      </c>
      <c r="Z69" s="861">
        <f>K69-'Corrected Internal_Parking B123'!AW74</f>
        <v>0</v>
      </c>
      <c r="AA69" s="862">
        <f>L69-'Corrected Internal_Parking B123'!AX74</f>
        <v>0</v>
      </c>
      <c r="AB69" s="861">
        <f>N69-'Corrected Internal_Parking B123'!AZ74</f>
        <v>0</v>
      </c>
      <c r="AC69" s="861">
        <f>Q69-'Corrected Internal_Parking B123'!BC74</f>
        <v>0</v>
      </c>
    </row>
    <row r="70" spans="1:29" ht="12.75" hidden="1" customHeight="1" x14ac:dyDescent="0.3">
      <c r="A70" s="863" t="str">
        <f t="shared" si="0"/>
        <v>GF-B3-11</v>
      </c>
      <c r="B70" s="864" t="str">
        <f>'Corrected Internal_Parking B123'!CA75</f>
        <v>SOLD</v>
      </c>
      <c r="C70" s="822" t="str">
        <f>'Corrected Internal_Parking B123'!C75</f>
        <v>Building 3</v>
      </c>
      <c r="D70" s="852" t="str">
        <f>'Corrected Internal_Parking B123'!E75</f>
        <v>Ground Floor</v>
      </c>
      <c r="E70" s="853" t="str">
        <f>'Corrected Internal_Parking B123'!F75</f>
        <v>GF-B3-11</v>
      </c>
      <c r="F70" s="854" t="str">
        <f>'Corrected Internal_Parking B123'!G75</f>
        <v>Single Slot</v>
      </c>
      <c r="G70" s="855">
        <f>'Corrected Internal_Parking B123'!H75</f>
        <v>13.5</v>
      </c>
      <c r="H70" s="856">
        <f>'Corrected Internal_Parking B123'!AT75</f>
        <v>831235.921875</v>
      </c>
      <c r="I70" s="857">
        <f>'Corrected Internal_Parking B123'!AV75</f>
        <v>83123.592187500006</v>
      </c>
      <c r="J70" s="858">
        <f>'Corrected Internal_Parking B123'!AU75</f>
        <v>99748.310624999998</v>
      </c>
      <c r="K70" s="855">
        <f>'Corrected Internal_Parking B123'!AW75</f>
        <v>1014107.8246875</v>
      </c>
      <c r="L70" s="859">
        <f>'Corrected Internal_Parking B123'!AX75</f>
        <v>0.15</v>
      </c>
      <c r="M70" s="856">
        <f>'Corrected Internal_Parking B123'!AY75</f>
        <v>152116.17370312501</v>
      </c>
      <c r="N70" s="856">
        <f>'Corrected Internal_Parking B123'!AZ75</f>
        <v>10000</v>
      </c>
      <c r="O70" s="856">
        <f>'Corrected Internal_Parking B123'!BA75</f>
        <v>142116.17370312501</v>
      </c>
      <c r="P70" s="860">
        <f>'Corrected Internal_Parking B123'!BB75</f>
        <v>31</v>
      </c>
      <c r="Q70" s="856">
        <f>'Corrected Internal_Parking B123'!BC75</f>
        <v>4584.3927001008069</v>
      </c>
      <c r="R70" s="856">
        <f>'Corrected Internal_Parking B123'!BE75</f>
        <v>861991.65098437504</v>
      </c>
      <c r="S70" s="856">
        <f>'Corrected Internal_Parking B123'!BF75</f>
        <v>7747.8246514351467</v>
      </c>
      <c r="T70" s="856">
        <f>'Corrected Internal_Parking B123'!BG75</f>
        <v>10008.453969494676</v>
      </c>
      <c r="U70" s="856">
        <f>'Corrected Internal_Parking B123'!BH75</f>
        <v>17068.467821265294</v>
      </c>
      <c r="W70" s="861">
        <f>H70-'Corrected Internal_Parking B123'!AT75</f>
        <v>0</v>
      </c>
      <c r="X70" s="861">
        <f>J70-'Corrected Internal_Parking B123'!AU75</f>
        <v>0</v>
      </c>
      <c r="Y70" s="861">
        <f>I70-'Corrected Internal_Parking B123'!AV75</f>
        <v>0</v>
      </c>
      <c r="Z70" s="861">
        <f>K70-'Corrected Internal_Parking B123'!AW75</f>
        <v>0</v>
      </c>
      <c r="AA70" s="862">
        <f>L70-'Corrected Internal_Parking B123'!AX75</f>
        <v>0</v>
      </c>
      <c r="AB70" s="861">
        <f>N70-'Corrected Internal_Parking B123'!AZ75</f>
        <v>0</v>
      </c>
      <c r="AC70" s="861">
        <f>Q70-'Corrected Internal_Parking B123'!BC75</f>
        <v>0</v>
      </c>
    </row>
    <row r="71" spans="1:29" ht="12.75" hidden="1" customHeight="1" x14ac:dyDescent="0.3">
      <c r="A71" s="863" t="str">
        <f t="shared" si="0"/>
        <v>GF-B3-12</v>
      </c>
      <c r="B71" s="864" t="str">
        <f>'Corrected Internal_Parking B123'!CA76</f>
        <v>SOLD</v>
      </c>
      <c r="C71" s="822" t="str">
        <f>'Corrected Internal_Parking B123'!C76</f>
        <v>Building 3</v>
      </c>
      <c r="D71" s="852" t="str">
        <f>'Corrected Internal_Parking B123'!E76</f>
        <v>Ground Floor</v>
      </c>
      <c r="E71" s="853" t="str">
        <f>'Corrected Internal_Parking B123'!F76</f>
        <v>GF-B3-12</v>
      </c>
      <c r="F71" s="854" t="str">
        <f>'Corrected Internal_Parking B123'!G76</f>
        <v>Single Slot</v>
      </c>
      <c r="G71" s="855">
        <f>'Corrected Internal_Parking B123'!H76</f>
        <v>13.5</v>
      </c>
      <c r="H71" s="856">
        <f>'Corrected Internal_Parking B123'!AT76</f>
        <v>831235.921875</v>
      </c>
      <c r="I71" s="857">
        <f>'Corrected Internal_Parking B123'!AV76</f>
        <v>83123.592187500006</v>
      </c>
      <c r="J71" s="858">
        <f>'Corrected Internal_Parking B123'!AU76</f>
        <v>99748.310624999998</v>
      </c>
      <c r="K71" s="855">
        <f>'Corrected Internal_Parking B123'!AW76</f>
        <v>1014107.8246875</v>
      </c>
      <c r="L71" s="859">
        <f>'Corrected Internal_Parking B123'!AX76</f>
        <v>0.15</v>
      </c>
      <c r="M71" s="856">
        <f>'Corrected Internal_Parking B123'!AY76</f>
        <v>152116.17370312501</v>
      </c>
      <c r="N71" s="856">
        <f>'Corrected Internal_Parking B123'!AZ76</f>
        <v>10000</v>
      </c>
      <c r="O71" s="856">
        <f>'Corrected Internal_Parking B123'!BA76</f>
        <v>142116.17370312501</v>
      </c>
      <c r="P71" s="860">
        <f>'Corrected Internal_Parking B123'!BB76</f>
        <v>31</v>
      </c>
      <c r="Q71" s="856">
        <f>'Corrected Internal_Parking B123'!BC76</f>
        <v>4584.3927001008069</v>
      </c>
      <c r="R71" s="856">
        <f>'Corrected Internal_Parking B123'!BE76</f>
        <v>861991.65098437504</v>
      </c>
      <c r="S71" s="856">
        <f>'Corrected Internal_Parking B123'!BF76</f>
        <v>7747.8246514351467</v>
      </c>
      <c r="T71" s="856">
        <f>'Corrected Internal_Parking B123'!BG76</f>
        <v>10008.453969494676</v>
      </c>
      <c r="U71" s="856">
        <f>'Corrected Internal_Parking B123'!BH76</f>
        <v>17068.467821265294</v>
      </c>
      <c r="W71" s="861">
        <f>H71-'Corrected Internal_Parking B123'!AT76</f>
        <v>0</v>
      </c>
      <c r="X71" s="861">
        <f>J71-'Corrected Internal_Parking B123'!AU76</f>
        <v>0</v>
      </c>
      <c r="Y71" s="861">
        <f>I71-'Corrected Internal_Parking B123'!AV76</f>
        <v>0</v>
      </c>
      <c r="Z71" s="861">
        <f>K71-'Corrected Internal_Parking B123'!AW76</f>
        <v>0</v>
      </c>
      <c r="AA71" s="862">
        <f>L71-'Corrected Internal_Parking B123'!AX76</f>
        <v>0</v>
      </c>
      <c r="AB71" s="861">
        <f>N71-'Corrected Internal_Parking B123'!AZ76</f>
        <v>0</v>
      </c>
      <c r="AC71" s="861">
        <f>Q71-'Corrected Internal_Parking B123'!BC76</f>
        <v>0</v>
      </c>
    </row>
    <row r="72" spans="1:29" ht="12.75" hidden="1" customHeight="1" x14ac:dyDescent="0.3">
      <c r="A72" s="863" t="str">
        <f t="shared" ref="A72:A108" si="1">E72</f>
        <v>GF-B3-13</v>
      </c>
      <c r="B72" s="864" t="str">
        <f>'Corrected Internal_Parking B123'!CA77</f>
        <v>SOLD</v>
      </c>
      <c r="C72" s="822" t="str">
        <f>'Corrected Internal_Parking B123'!C77</f>
        <v>Building 3</v>
      </c>
      <c r="D72" s="852" t="str">
        <f>'Corrected Internal_Parking B123'!E77</f>
        <v>Ground Floor</v>
      </c>
      <c r="E72" s="853" t="str">
        <f>'Corrected Internal_Parking B123'!F77</f>
        <v>GF-B3-13</v>
      </c>
      <c r="F72" s="854" t="str">
        <f>'Corrected Internal_Parking B123'!G77</f>
        <v>Single Slot</v>
      </c>
      <c r="G72" s="855">
        <f>'Corrected Internal_Parking B123'!H77</f>
        <v>12.5</v>
      </c>
      <c r="H72" s="856">
        <f>'Corrected Internal_Parking B123'!AT77</f>
        <v>796780.546875</v>
      </c>
      <c r="I72" s="857">
        <f>'Corrected Internal_Parking B123'!AV77</f>
        <v>79678.0546875</v>
      </c>
      <c r="J72" s="858">
        <f>'Corrected Internal_Parking B123'!AU77</f>
        <v>95613.665624999994</v>
      </c>
      <c r="K72" s="855">
        <f>'Corrected Internal_Parking B123'!AW77</f>
        <v>972072.26718750002</v>
      </c>
      <c r="L72" s="859">
        <f>'Corrected Internal_Parking B123'!AX77</f>
        <v>0.15</v>
      </c>
      <c r="M72" s="856">
        <f>'Corrected Internal_Parking B123'!AY77</f>
        <v>145810.84007812501</v>
      </c>
      <c r="N72" s="856">
        <f>'Corrected Internal_Parking B123'!AZ77</f>
        <v>10000</v>
      </c>
      <c r="O72" s="856">
        <f>'Corrected Internal_Parking B123'!BA77</f>
        <v>135810.84007812501</v>
      </c>
      <c r="P72" s="860">
        <f>'Corrected Internal_Parking B123'!BB77</f>
        <v>31</v>
      </c>
      <c r="Q72" s="856">
        <f>'Corrected Internal_Parking B123'!BC77</f>
        <v>4380.994841229839</v>
      </c>
      <c r="R72" s="856">
        <f>'Corrected Internal_Parking B123'!BE77</f>
        <v>826261.42710937501</v>
      </c>
      <c r="S72" s="856">
        <f>'Corrected Internal_Parking B123'!BF77</f>
        <v>7426.6712980077818</v>
      </c>
      <c r="T72" s="856">
        <f>'Corrected Internal_Parking B123'!BG77</f>
        <v>9593.5957738679535</v>
      </c>
      <c r="U72" s="856">
        <f>'Corrected Internal_Parking B123'!BH77</f>
        <v>16360.966564425282</v>
      </c>
      <c r="W72" s="861">
        <f>H72-'Corrected Internal_Parking B123'!AT77</f>
        <v>0</v>
      </c>
      <c r="X72" s="861">
        <f>J72-'Corrected Internal_Parking B123'!AU77</f>
        <v>0</v>
      </c>
      <c r="Y72" s="861">
        <f>I72-'Corrected Internal_Parking B123'!AV77</f>
        <v>0</v>
      </c>
      <c r="Z72" s="861">
        <f>K72-'Corrected Internal_Parking B123'!AW77</f>
        <v>0</v>
      </c>
      <c r="AA72" s="862">
        <f>L72-'Corrected Internal_Parking B123'!AX77</f>
        <v>0</v>
      </c>
      <c r="AB72" s="861">
        <f>N72-'Corrected Internal_Parking B123'!AZ77</f>
        <v>0</v>
      </c>
      <c r="AC72" s="861">
        <f>Q72-'Corrected Internal_Parking B123'!BC77</f>
        <v>0</v>
      </c>
    </row>
    <row r="73" spans="1:29" ht="12.75" hidden="1" customHeight="1" x14ac:dyDescent="0.3">
      <c r="A73" s="863" t="str">
        <f t="shared" si="1"/>
        <v>GF-B3-14</v>
      </c>
      <c r="B73" s="864" t="str">
        <f>'Corrected Internal_Parking B123'!CA78</f>
        <v>SOLD</v>
      </c>
      <c r="C73" s="822" t="str">
        <f>'Corrected Internal_Parking B123'!C78</f>
        <v>Building 3</v>
      </c>
      <c r="D73" s="852" t="str">
        <f>'Corrected Internal_Parking B123'!E78</f>
        <v>Ground Floor</v>
      </c>
      <c r="E73" s="853" t="str">
        <f>'Corrected Internal_Parking B123'!F78</f>
        <v>GF-B3-14</v>
      </c>
      <c r="F73" s="854" t="str">
        <f>'Corrected Internal_Parking B123'!G78</f>
        <v>Single Slot</v>
      </c>
      <c r="G73" s="855">
        <f>'Corrected Internal_Parking B123'!H78</f>
        <v>13.5</v>
      </c>
      <c r="H73" s="856">
        <f>'Corrected Internal_Parking B123'!AT78</f>
        <v>852770.53125</v>
      </c>
      <c r="I73" s="857">
        <f>'Corrected Internal_Parking B123'!AV78</f>
        <v>85277.053125000006</v>
      </c>
      <c r="J73" s="858">
        <f>'Corrected Internal_Parking B123'!AU78</f>
        <v>102332.46375</v>
      </c>
      <c r="K73" s="855">
        <f>'Corrected Internal_Parking B123'!AW78</f>
        <v>1040380.048125</v>
      </c>
      <c r="L73" s="859">
        <f>'Corrected Internal_Parking B123'!AX78</f>
        <v>0.15</v>
      </c>
      <c r="M73" s="856">
        <f>'Corrected Internal_Parking B123'!AY78</f>
        <v>156057.00721874999</v>
      </c>
      <c r="N73" s="856">
        <f>'Corrected Internal_Parking B123'!AZ78</f>
        <v>10000</v>
      </c>
      <c r="O73" s="856">
        <f>'Corrected Internal_Parking B123'!BA78</f>
        <v>146057.00721874999</v>
      </c>
      <c r="P73" s="860">
        <f>'Corrected Internal_Parking B123'!BB78</f>
        <v>31</v>
      </c>
      <c r="Q73" s="856">
        <f>'Corrected Internal_Parking B123'!BC78</f>
        <v>4711.516361895161</v>
      </c>
      <c r="R73" s="856">
        <f>'Corrected Internal_Parking B123'!BE78</f>
        <v>884323.04090625001</v>
      </c>
      <c r="S73" s="856">
        <f>'Corrected Internal_Parking B123'!BF78</f>
        <v>7948.5454973272472</v>
      </c>
      <c r="T73" s="856">
        <f>'Corrected Internal_Parking B123'!BG78</f>
        <v>10267.740341761377</v>
      </c>
      <c r="U73" s="856">
        <f>'Corrected Internal_Parking B123'!BH78</f>
        <v>17510.656106790302</v>
      </c>
      <c r="W73" s="861">
        <f>H73-'Corrected Internal_Parking B123'!AT78</f>
        <v>0</v>
      </c>
      <c r="X73" s="861">
        <f>J73-'Corrected Internal_Parking B123'!AU78</f>
        <v>0</v>
      </c>
      <c r="Y73" s="861">
        <f>I73-'Corrected Internal_Parking B123'!AV78</f>
        <v>0</v>
      </c>
      <c r="Z73" s="861">
        <f>K73-'Corrected Internal_Parking B123'!AW78</f>
        <v>0</v>
      </c>
      <c r="AA73" s="862">
        <f>L73-'Corrected Internal_Parking B123'!AX78</f>
        <v>0</v>
      </c>
      <c r="AB73" s="861">
        <f>N73-'Corrected Internal_Parking B123'!AZ78</f>
        <v>0</v>
      </c>
      <c r="AC73" s="861">
        <f>Q73-'Corrected Internal_Parking B123'!BC78</f>
        <v>0</v>
      </c>
    </row>
    <row r="74" spans="1:29" ht="12.75" customHeight="1" x14ac:dyDescent="0.3">
      <c r="A74" s="863" t="str">
        <f t="shared" si="1"/>
        <v>GF-B3-15</v>
      </c>
      <c r="B74" s="864" t="str">
        <f>'Corrected Internal_Parking B123'!CA79</f>
        <v>UNSOLD</v>
      </c>
      <c r="C74" s="822" t="str">
        <f>'Corrected Internal_Parking B123'!C79</f>
        <v>Building 3</v>
      </c>
      <c r="D74" s="852" t="str">
        <f>'Corrected Internal_Parking B123'!E79</f>
        <v>Ground Floor</v>
      </c>
      <c r="E74" s="853" t="str">
        <f>'Corrected Internal_Parking B123'!F79</f>
        <v>GF-B3-15</v>
      </c>
      <c r="F74" s="854" t="str">
        <f>'Corrected Internal_Parking B123'!G79</f>
        <v>Tandem</v>
      </c>
      <c r="G74" s="855">
        <f>'Corrected Internal_Parking B123'!H79</f>
        <v>13.5</v>
      </c>
      <c r="H74" s="856">
        <f>'Corrected Internal_Parking B123'!AT79</f>
        <v>800672.88397249999</v>
      </c>
      <c r="I74" s="857">
        <f>'Corrected Internal_Parking B123'!AV79</f>
        <v>80067.288397249999</v>
      </c>
      <c r="J74" s="858">
        <f>'Corrected Internal_Parking B123'!AU79</f>
        <v>96080.746076700001</v>
      </c>
      <c r="K74" s="855">
        <f>'Corrected Internal_Parking B123'!AW79</f>
        <v>976820.91844645003</v>
      </c>
      <c r="L74" s="859">
        <f>'Corrected Internal_Parking B123'!AX79</f>
        <v>0.15</v>
      </c>
      <c r="M74" s="856">
        <f>'Corrected Internal_Parking B123'!AY79</f>
        <v>146523.1377669675</v>
      </c>
      <c r="N74" s="856">
        <f>'Corrected Internal_Parking B123'!AZ79</f>
        <v>10000</v>
      </c>
      <c r="O74" s="856">
        <f>'Corrected Internal_Parking B123'!BA79</f>
        <v>136523.1377669675</v>
      </c>
      <c r="P74" s="860">
        <f>'Corrected Internal_Parking B123'!BB79</f>
        <v>31</v>
      </c>
      <c r="Q74" s="856">
        <f>'Corrected Internal_Parking B123'!BC79</f>
        <v>4403.9721860312093</v>
      </c>
      <c r="R74" s="856">
        <f>'Corrected Internal_Parking B123'!BE79</f>
        <v>830297.7806794825</v>
      </c>
      <c r="S74" s="856">
        <f>'Corrected Internal_Parking B123'!BF79</f>
        <v>7462.9511850074696</v>
      </c>
      <c r="T74" s="856">
        <f>'Corrected Internal_Parking B123'!BG79</f>
        <v>9640.4612613293375</v>
      </c>
      <c r="U74" s="856">
        <f>'Corrected Internal_Parking B123'!BH79</f>
        <v>16440.891202846029</v>
      </c>
      <c r="W74" s="861">
        <f>H74-'Corrected Internal_Parking B123'!AT79</f>
        <v>0</v>
      </c>
      <c r="X74" s="861">
        <f>J74-'Corrected Internal_Parking B123'!AU79</f>
        <v>0</v>
      </c>
      <c r="Y74" s="861">
        <f>I74-'Corrected Internal_Parking B123'!AV79</f>
        <v>0</v>
      </c>
      <c r="Z74" s="861">
        <f>K74-'Corrected Internal_Parking B123'!AW79</f>
        <v>0</v>
      </c>
      <c r="AA74" s="862">
        <f>L74-'Corrected Internal_Parking B123'!AX79</f>
        <v>0</v>
      </c>
      <c r="AB74" s="861">
        <f>N74-'Corrected Internal_Parking B123'!AZ79</f>
        <v>0</v>
      </c>
      <c r="AC74" s="861">
        <f>Q74-'Corrected Internal_Parking B123'!BC79</f>
        <v>0</v>
      </c>
    </row>
    <row r="75" spans="1:29" ht="12.75" customHeight="1" x14ac:dyDescent="0.3">
      <c r="A75" s="863" t="str">
        <f t="shared" si="1"/>
        <v>GF-B3-16</v>
      </c>
      <c r="B75" s="864" t="str">
        <f>'Corrected Internal_Parking B123'!CA80</f>
        <v>UNSOLD</v>
      </c>
      <c r="C75" s="822" t="str">
        <f>'Corrected Internal_Parking B123'!C80</f>
        <v>Building 3</v>
      </c>
      <c r="D75" s="852" t="str">
        <f>'Corrected Internal_Parking B123'!E80</f>
        <v>Ground Floor</v>
      </c>
      <c r="E75" s="853" t="str">
        <f>'Corrected Internal_Parking B123'!F80</f>
        <v>GF-B3-16</v>
      </c>
      <c r="F75" s="854" t="str">
        <f>'Corrected Internal_Parking B123'!G80</f>
        <v>Tandem</v>
      </c>
      <c r="G75" s="855">
        <f>'Corrected Internal_Parking B123'!H80</f>
        <v>13.5</v>
      </c>
      <c r="H75" s="856">
        <f>'Corrected Internal_Parking B123'!AT80</f>
        <v>800672.88397249999</v>
      </c>
      <c r="I75" s="857">
        <f>'Corrected Internal_Parking B123'!AV80</f>
        <v>80067.288397249999</v>
      </c>
      <c r="J75" s="858">
        <f>'Corrected Internal_Parking B123'!AU80</f>
        <v>96080.746076700001</v>
      </c>
      <c r="K75" s="855">
        <f>'Corrected Internal_Parking B123'!AW80</f>
        <v>976820.91844645003</v>
      </c>
      <c r="L75" s="859">
        <f>'Corrected Internal_Parking B123'!AX80</f>
        <v>0.15</v>
      </c>
      <c r="M75" s="856">
        <f>'Corrected Internal_Parking B123'!AY80</f>
        <v>146523.1377669675</v>
      </c>
      <c r="N75" s="856">
        <f>'Corrected Internal_Parking B123'!AZ80</f>
        <v>10000</v>
      </c>
      <c r="O75" s="856">
        <f>'Corrected Internal_Parking B123'!BA80</f>
        <v>136523.1377669675</v>
      </c>
      <c r="P75" s="860">
        <f>'Corrected Internal_Parking B123'!BB80</f>
        <v>31</v>
      </c>
      <c r="Q75" s="856">
        <f>'Corrected Internal_Parking B123'!BC80</f>
        <v>4403.9721860312093</v>
      </c>
      <c r="R75" s="856">
        <f>'Corrected Internal_Parking B123'!BE80</f>
        <v>830297.7806794825</v>
      </c>
      <c r="S75" s="856">
        <f>'Corrected Internal_Parking B123'!BF80</f>
        <v>7462.9511850074696</v>
      </c>
      <c r="T75" s="856">
        <f>'Corrected Internal_Parking B123'!BG80</f>
        <v>9640.4612613293375</v>
      </c>
      <c r="U75" s="856">
        <f>'Corrected Internal_Parking B123'!BH80</f>
        <v>16440.891202846029</v>
      </c>
      <c r="W75" s="861">
        <f>H75-'Corrected Internal_Parking B123'!AT80</f>
        <v>0</v>
      </c>
      <c r="X75" s="861">
        <f>J75-'Corrected Internal_Parking B123'!AU80</f>
        <v>0</v>
      </c>
      <c r="Y75" s="861">
        <f>I75-'Corrected Internal_Parking B123'!AV80</f>
        <v>0</v>
      </c>
      <c r="Z75" s="861">
        <f>K75-'Corrected Internal_Parking B123'!AW80</f>
        <v>0</v>
      </c>
      <c r="AA75" s="862">
        <f>L75-'Corrected Internal_Parking B123'!AX80</f>
        <v>0</v>
      </c>
      <c r="AB75" s="861">
        <f>N75-'Corrected Internal_Parking B123'!AZ80</f>
        <v>0</v>
      </c>
      <c r="AC75" s="861">
        <f>Q75-'Corrected Internal_Parking B123'!BC80</f>
        <v>0</v>
      </c>
    </row>
    <row r="76" spans="1:29" ht="12.75" customHeight="1" x14ac:dyDescent="0.3">
      <c r="A76" s="863" t="str">
        <f t="shared" si="1"/>
        <v>GF-B3-17</v>
      </c>
      <c r="B76" s="864" t="str">
        <f>'Corrected Internal_Parking B123'!CA81</f>
        <v>UNSOLD</v>
      </c>
      <c r="C76" s="822" t="str">
        <f>'Corrected Internal_Parking B123'!C81</f>
        <v>Building 3</v>
      </c>
      <c r="D76" s="852" t="str">
        <f>'Corrected Internal_Parking B123'!E81</f>
        <v>Ground Floor</v>
      </c>
      <c r="E76" s="853" t="str">
        <f>'Corrected Internal_Parking B123'!F81</f>
        <v>GF-B3-17</v>
      </c>
      <c r="F76" s="854" t="str">
        <f>'Corrected Internal_Parking B123'!G81</f>
        <v>Tandem</v>
      </c>
      <c r="G76" s="855">
        <f>'Corrected Internal_Parking B123'!H81</f>
        <v>13.5</v>
      </c>
      <c r="H76" s="856">
        <f>'Corrected Internal_Parking B123'!AT81</f>
        <v>800672.88397249999</v>
      </c>
      <c r="I76" s="857">
        <f>'Corrected Internal_Parking B123'!AV81</f>
        <v>80067.288397249999</v>
      </c>
      <c r="J76" s="858">
        <f>'Corrected Internal_Parking B123'!AU81</f>
        <v>96080.746076700001</v>
      </c>
      <c r="K76" s="855">
        <f>'Corrected Internal_Parking B123'!AW81</f>
        <v>976820.91844645003</v>
      </c>
      <c r="L76" s="859">
        <f>'Corrected Internal_Parking B123'!AX81</f>
        <v>0.15</v>
      </c>
      <c r="M76" s="856">
        <f>'Corrected Internal_Parking B123'!AY81</f>
        <v>146523.1377669675</v>
      </c>
      <c r="N76" s="856">
        <f>'Corrected Internal_Parking B123'!AZ81</f>
        <v>10000</v>
      </c>
      <c r="O76" s="856">
        <f>'Corrected Internal_Parking B123'!BA81</f>
        <v>136523.1377669675</v>
      </c>
      <c r="P76" s="860">
        <f>'Corrected Internal_Parking B123'!BB81</f>
        <v>31</v>
      </c>
      <c r="Q76" s="856">
        <f>'Corrected Internal_Parking B123'!BC81</f>
        <v>4403.9721860312093</v>
      </c>
      <c r="R76" s="856">
        <f>'Corrected Internal_Parking B123'!BE81</f>
        <v>830297.7806794825</v>
      </c>
      <c r="S76" s="856">
        <f>'Corrected Internal_Parking B123'!BF81</f>
        <v>7462.9511850074696</v>
      </c>
      <c r="T76" s="856">
        <f>'Corrected Internal_Parking B123'!BG81</f>
        <v>9640.4612613293375</v>
      </c>
      <c r="U76" s="856">
        <f>'Corrected Internal_Parking B123'!BH81</f>
        <v>16440.891202846029</v>
      </c>
      <c r="W76" s="861">
        <f>H76-'Corrected Internal_Parking B123'!AT81</f>
        <v>0</v>
      </c>
      <c r="X76" s="861">
        <f>J76-'Corrected Internal_Parking B123'!AU81</f>
        <v>0</v>
      </c>
      <c r="Y76" s="861">
        <f>I76-'Corrected Internal_Parking B123'!AV81</f>
        <v>0</v>
      </c>
      <c r="Z76" s="861">
        <f>K76-'Corrected Internal_Parking B123'!AW81</f>
        <v>0</v>
      </c>
      <c r="AA76" s="862">
        <f>L76-'Corrected Internal_Parking B123'!AX81</f>
        <v>0</v>
      </c>
      <c r="AB76" s="861">
        <f>N76-'Corrected Internal_Parking B123'!AZ81</f>
        <v>0</v>
      </c>
      <c r="AC76" s="861">
        <f>Q76-'Corrected Internal_Parking B123'!BC81</f>
        <v>0</v>
      </c>
    </row>
    <row r="77" spans="1:29" ht="12.75" customHeight="1" x14ac:dyDescent="0.3">
      <c r="A77" s="863" t="str">
        <f t="shared" si="1"/>
        <v>GF-B3-18</v>
      </c>
      <c r="B77" s="864" t="str">
        <f>'Corrected Internal_Parking B123'!CA82</f>
        <v>UNSOLD</v>
      </c>
      <c r="C77" s="822" t="str">
        <f>'Corrected Internal_Parking B123'!C82</f>
        <v>Building 3</v>
      </c>
      <c r="D77" s="852" t="str">
        <f>'Corrected Internal_Parking B123'!E82</f>
        <v>Ground Floor</v>
      </c>
      <c r="E77" s="853" t="str">
        <f>'Corrected Internal_Parking B123'!F82</f>
        <v>GF-B3-18</v>
      </c>
      <c r="F77" s="854" t="str">
        <f>'Corrected Internal_Parking B123'!G82</f>
        <v>Tandem</v>
      </c>
      <c r="G77" s="855">
        <f>'Corrected Internal_Parking B123'!H82</f>
        <v>13.5</v>
      </c>
      <c r="H77" s="856">
        <f>'Corrected Internal_Parking B123'!AT82</f>
        <v>800672.88397249999</v>
      </c>
      <c r="I77" s="857">
        <f>'Corrected Internal_Parking B123'!AV82</f>
        <v>80067.288397249999</v>
      </c>
      <c r="J77" s="858">
        <f>'Corrected Internal_Parking B123'!AU82</f>
        <v>96080.746076700001</v>
      </c>
      <c r="K77" s="855">
        <f>'Corrected Internal_Parking B123'!AW82</f>
        <v>976820.91844645003</v>
      </c>
      <c r="L77" s="859">
        <f>'Corrected Internal_Parking B123'!AX82</f>
        <v>0.15</v>
      </c>
      <c r="M77" s="856">
        <f>'Corrected Internal_Parking B123'!AY82</f>
        <v>146523.1377669675</v>
      </c>
      <c r="N77" s="856">
        <f>'Corrected Internal_Parking B123'!AZ82</f>
        <v>10000</v>
      </c>
      <c r="O77" s="856">
        <f>'Corrected Internal_Parking B123'!BA82</f>
        <v>136523.1377669675</v>
      </c>
      <c r="P77" s="860">
        <f>'Corrected Internal_Parking B123'!BB82</f>
        <v>31</v>
      </c>
      <c r="Q77" s="856">
        <f>'Corrected Internal_Parking B123'!BC82</f>
        <v>4403.9721860312093</v>
      </c>
      <c r="R77" s="856">
        <f>'Corrected Internal_Parking B123'!BE82</f>
        <v>830297.7806794825</v>
      </c>
      <c r="S77" s="856">
        <f>'Corrected Internal_Parking B123'!BF82</f>
        <v>7462.9511850074696</v>
      </c>
      <c r="T77" s="856">
        <f>'Corrected Internal_Parking B123'!BG82</f>
        <v>9640.4612613293375</v>
      </c>
      <c r="U77" s="856">
        <f>'Corrected Internal_Parking B123'!BH82</f>
        <v>16440.891202846029</v>
      </c>
      <c r="W77" s="861">
        <f>H77-'Corrected Internal_Parking B123'!AT82</f>
        <v>0</v>
      </c>
      <c r="X77" s="861">
        <f>J77-'Corrected Internal_Parking B123'!AU82</f>
        <v>0</v>
      </c>
      <c r="Y77" s="861">
        <f>I77-'Corrected Internal_Parking B123'!AV82</f>
        <v>0</v>
      </c>
      <c r="Z77" s="861">
        <f>K77-'Corrected Internal_Parking B123'!AW82</f>
        <v>0</v>
      </c>
      <c r="AA77" s="862">
        <f>L77-'Corrected Internal_Parking B123'!AX82</f>
        <v>0</v>
      </c>
      <c r="AB77" s="861">
        <f>N77-'Corrected Internal_Parking B123'!AZ82</f>
        <v>0</v>
      </c>
      <c r="AC77" s="861">
        <f>Q77-'Corrected Internal_Parking B123'!BC82</f>
        <v>0</v>
      </c>
    </row>
    <row r="78" spans="1:29" ht="12.75" customHeight="1" x14ac:dyDescent="0.3">
      <c r="A78" s="863" t="str">
        <f t="shared" si="1"/>
        <v>GF-B3-19</v>
      </c>
      <c r="B78" s="864" t="str">
        <f>'Corrected Internal_Parking B123'!CA83</f>
        <v>UNSOLD</v>
      </c>
      <c r="C78" s="822" t="str">
        <f>'Corrected Internal_Parking B123'!C83</f>
        <v>Building 3</v>
      </c>
      <c r="D78" s="852" t="str">
        <f>'Corrected Internal_Parking B123'!E83</f>
        <v>Ground Floor</v>
      </c>
      <c r="E78" s="853" t="str">
        <f>'Corrected Internal_Parking B123'!F83</f>
        <v>GF-B3-19</v>
      </c>
      <c r="F78" s="854" t="str">
        <f>'Corrected Internal_Parking B123'!G83</f>
        <v>Single Slot</v>
      </c>
      <c r="G78" s="855">
        <f>'Corrected Internal_Parking B123'!H83</f>
        <v>13.5</v>
      </c>
      <c r="H78" s="856">
        <f>'Corrected Internal_Parking B123'!AT83</f>
        <v>854509.40740999999</v>
      </c>
      <c r="I78" s="857">
        <f>'Corrected Internal_Parking B123'!AV83</f>
        <v>85450.940740999999</v>
      </c>
      <c r="J78" s="858">
        <f>'Corrected Internal_Parking B123'!AU83</f>
        <v>102541.1288892</v>
      </c>
      <c r="K78" s="855">
        <f>'Corrected Internal_Parking B123'!AW83</f>
        <v>1042501.4770402</v>
      </c>
      <c r="L78" s="859">
        <f>'Corrected Internal_Parking B123'!AX83</f>
        <v>0.15</v>
      </c>
      <c r="M78" s="856">
        <f>'Corrected Internal_Parking B123'!AY83</f>
        <v>156375.22155603001</v>
      </c>
      <c r="N78" s="856">
        <f>'Corrected Internal_Parking B123'!AZ83</f>
        <v>10000</v>
      </c>
      <c r="O78" s="856">
        <f>'Corrected Internal_Parking B123'!BA83</f>
        <v>146375.22155603001</v>
      </c>
      <c r="P78" s="860">
        <f>'Corrected Internal_Parking B123'!BB83</f>
        <v>31</v>
      </c>
      <c r="Q78" s="856">
        <f>'Corrected Internal_Parking B123'!BC83</f>
        <v>4721.7813405170973</v>
      </c>
      <c r="R78" s="856">
        <f>'Corrected Internal_Parking B123'!BE83</f>
        <v>886126.25548417005</v>
      </c>
      <c r="S78" s="856">
        <f>'Corrected Internal_Parking B123'!BF83</f>
        <v>7964.7532997377257</v>
      </c>
      <c r="T78" s="856">
        <f>'Corrected Internal_Parking B123'!BG83</f>
        <v>10288.677191996092</v>
      </c>
      <c r="U78" s="856">
        <f>'Corrected Internal_Parking B123'!BH83</f>
        <v>17546.361916658549</v>
      </c>
      <c r="W78" s="861">
        <f>H78-'Corrected Internal_Parking B123'!AT83</f>
        <v>0</v>
      </c>
      <c r="X78" s="861">
        <f>J78-'Corrected Internal_Parking B123'!AU83</f>
        <v>0</v>
      </c>
      <c r="Y78" s="861">
        <f>I78-'Corrected Internal_Parking B123'!AV83</f>
        <v>0</v>
      </c>
      <c r="Z78" s="861">
        <f>K78-'Corrected Internal_Parking B123'!AW83</f>
        <v>0</v>
      </c>
      <c r="AA78" s="862">
        <f>L78-'Corrected Internal_Parking B123'!AX83</f>
        <v>0</v>
      </c>
      <c r="AB78" s="861">
        <f>N78-'Corrected Internal_Parking B123'!AZ83</f>
        <v>0</v>
      </c>
      <c r="AC78" s="861">
        <f>Q78-'Corrected Internal_Parking B123'!BC83</f>
        <v>0</v>
      </c>
    </row>
    <row r="79" spans="1:29" ht="12.75" hidden="1" customHeight="1" x14ac:dyDescent="0.3">
      <c r="A79" s="863" t="str">
        <f t="shared" si="1"/>
        <v>GF-B3-20</v>
      </c>
      <c r="B79" s="864" t="str">
        <f>'Corrected Internal_Parking B123'!CA84</f>
        <v>NOT YET OPEN</v>
      </c>
      <c r="C79" s="822" t="str">
        <f>'Corrected Internal_Parking B123'!C84</f>
        <v>Building 3</v>
      </c>
      <c r="D79" s="852" t="str">
        <f>'Corrected Internal_Parking B123'!E84</f>
        <v>Ground Floor</v>
      </c>
      <c r="E79" s="853" t="str">
        <f>'Corrected Internal_Parking B123'!F84</f>
        <v>GF-B3-20</v>
      </c>
      <c r="F79" s="854" t="str">
        <f>'Corrected Internal_Parking B123'!G84</f>
        <v>Single Slot</v>
      </c>
      <c r="G79" s="855">
        <f>'Corrected Internal_Parking B123'!H84</f>
        <v>13.5</v>
      </c>
      <c r="H79" s="856">
        <f>'Corrected Internal_Parking B123'!AT84</f>
        <v>798934.0078125</v>
      </c>
      <c r="I79" s="857">
        <f>'Corrected Internal_Parking B123'!AV84</f>
        <v>79893.400781250006</v>
      </c>
      <c r="J79" s="858">
        <f>'Corrected Internal_Parking B123'!AU84</f>
        <v>95872.080937499995</v>
      </c>
      <c r="K79" s="855">
        <f>'Corrected Internal_Parking B123'!AW84</f>
        <v>974699.48953124997</v>
      </c>
      <c r="L79" s="859">
        <f>'Corrected Internal_Parking B123'!AX84</f>
        <v>0.15</v>
      </c>
      <c r="M79" s="856">
        <f>'Corrected Internal_Parking B123'!AY84</f>
        <v>146204.92342968748</v>
      </c>
      <c r="N79" s="856">
        <f>'Corrected Internal_Parking B123'!AZ84</f>
        <v>10000</v>
      </c>
      <c r="O79" s="856">
        <f>'Corrected Internal_Parking B123'!BA84</f>
        <v>136204.92342968748</v>
      </c>
      <c r="P79" s="860">
        <f>'Corrected Internal_Parking B123'!BB84</f>
        <v>31</v>
      </c>
      <c r="Q79" s="856">
        <f>'Corrected Internal_Parking B123'!BC84</f>
        <v>4393.7072074092739</v>
      </c>
      <c r="R79" s="856">
        <f>'Corrected Internal_Parking B123'!BE84</f>
        <v>828494.56610156246</v>
      </c>
      <c r="S79" s="856">
        <f>'Corrected Internal_Parking B123'!BF84</f>
        <v>7446.743382596992</v>
      </c>
      <c r="T79" s="856">
        <f>'Corrected Internal_Parking B123'!BG84</f>
        <v>9619.5244110946223</v>
      </c>
      <c r="U79" s="856">
        <f>'Corrected Internal_Parking B123'!BH84</f>
        <v>16405.185392977779</v>
      </c>
      <c r="W79" s="861">
        <f>H79-'Corrected Internal_Parking B123'!AT84</f>
        <v>0</v>
      </c>
      <c r="X79" s="861">
        <f>J79-'Corrected Internal_Parking B123'!AU84</f>
        <v>0</v>
      </c>
      <c r="Y79" s="861">
        <f>I79-'Corrected Internal_Parking B123'!AV84</f>
        <v>0</v>
      </c>
      <c r="Z79" s="861">
        <f>K79-'Corrected Internal_Parking B123'!AW84</f>
        <v>0</v>
      </c>
      <c r="AA79" s="862">
        <f>L79-'Corrected Internal_Parking B123'!AX84</f>
        <v>0</v>
      </c>
      <c r="AB79" s="861">
        <f>N79-'Corrected Internal_Parking B123'!AZ84</f>
        <v>0</v>
      </c>
      <c r="AC79" s="861">
        <f>Q79-'Corrected Internal_Parking B123'!BC84</f>
        <v>0</v>
      </c>
    </row>
    <row r="80" spans="1:29" ht="12.75" customHeight="1" x14ac:dyDescent="0.3">
      <c r="A80" s="863" t="str">
        <f t="shared" si="1"/>
        <v>2F-B3-1</v>
      </c>
      <c r="B80" s="864" t="str">
        <f>'Corrected Internal_Parking B123'!CA85</f>
        <v>UNSOLD</v>
      </c>
      <c r="C80" s="822" t="str">
        <f>'Corrected Internal_Parking B123'!C85</f>
        <v>Building 3</v>
      </c>
      <c r="D80" s="852" t="str">
        <f>'Corrected Internal_Parking B123'!E85</f>
        <v>2nd Floor</v>
      </c>
      <c r="E80" s="853" t="str">
        <f>'Corrected Internal_Parking B123'!F85</f>
        <v>2F-B3-1</v>
      </c>
      <c r="F80" s="854" t="str">
        <f>'Corrected Internal_Parking B123'!G85</f>
        <v>Single Slot</v>
      </c>
      <c r="G80" s="855">
        <f>'Corrected Internal_Parking B123'!H85</f>
        <v>13.5</v>
      </c>
      <c r="H80" s="856">
        <f>'Corrected Internal_Parking B123'!AT85</f>
        <v>757603.66522249999</v>
      </c>
      <c r="I80" s="857">
        <f>'Corrected Internal_Parking B123'!AV85</f>
        <v>75760.366522249999</v>
      </c>
      <c r="J80" s="858">
        <f>'Corrected Internal_Parking B123'!AU85</f>
        <v>90912.439826699992</v>
      </c>
      <c r="K80" s="855">
        <f>'Corrected Internal_Parking B123'!AW85</f>
        <v>924276.47157145001</v>
      </c>
      <c r="L80" s="859">
        <f>'Corrected Internal_Parking B123'!AX85</f>
        <v>0.15</v>
      </c>
      <c r="M80" s="856">
        <f>'Corrected Internal_Parking B123'!AY85</f>
        <v>138641.47073571751</v>
      </c>
      <c r="N80" s="856">
        <f>'Corrected Internal_Parking B123'!AZ85</f>
        <v>10000</v>
      </c>
      <c r="O80" s="856">
        <f>'Corrected Internal_Parking B123'!BA85</f>
        <v>128641.47073571751</v>
      </c>
      <c r="P80" s="860">
        <f>'Corrected Internal_Parking B123'!BB85</f>
        <v>31</v>
      </c>
      <c r="Q80" s="856">
        <f>'Corrected Internal_Parking B123'!BC85</f>
        <v>4149.7248624425001</v>
      </c>
      <c r="R80" s="856">
        <f>'Corrected Internal_Parking B123'!BE85</f>
        <v>785635.00083573244</v>
      </c>
      <c r="S80" s="856">
        <f>'Corrected Internal_Parking B123'!BF85</f>
        <v>7061.5094932232651</v>
      </c>
      <c r="T80" s="856">
        <f>'Corrected Internal_Parking B123'!BG85</f>
        <v>9121.8885167959343</v>
      </c>
      <c r="U80" s="856">
        <f>'Corrected Internal_Parking B123'!BH85</f>
        <v>15556.514631796012</v>
      </c>
      <c r="W80" s="861">
        <f>H80-'Corrected Internal_Parking B123'!AT85</f>
        <v>0</v>
      </c>
      <c r="X80" s="861">
        <f>J80-'Corrected Internal_Parking B123'!AU85</f>
        <v>0</v>
      </c>
      <c r="Y80" s="861">
        <f>I80-'Corrected Internal_Parking B123'!AV85</f>
        <v>0</v>
      </c>
      <c r="Z80" s="861">
        <f>K80-'Corrected Internal_Parking B123'!AW85</f>
        <v>0</v>
      </c>
      <c r="AA80" s="862">
        <f>L80-'Corrected Internal_Parking B123'!AX85</f>
        <v>0</v>
      </c>
      <c r="AB80" s="861">
        <f>N80-'Corrected Internal_Parking B123'!AZ85</f>
        <v>0</v>
      </c>
      <c r="AC80" s="861">
        <f>Q80-'Corrected Internal_Parking B123'!BC85</f>
        <v>0</v>
      </c>
    </row>
    <row r="81" spans="1:29" ht="12.75" hidden="1" customHeight="1" x14ac:dyDescent="0.3">
      <c r="A81" s="863" t="str">
        <f t="shared" si="1"/>
        <v>2F-B3-2</v>
      </c>
      <c r="B81" s="864" t="str">
        <f>'Corrected Internal_Parking B123'!CA86</f>
        <v>SOLD</v>
      </c>
      <c r="C81" s="822" t="str">
        <f>'Corrected Internal_Parking B123'!C86</f>
        <v>Building 3</v>
      </c>
      <c r="D81" s="852" t="str">
        <f>'Corrected Internal_Parking B123'!E86</f>
        <v>2nd Floor</v>
      </c>
      <c r="E81" s="853" t="str">
        <f>'Corrected Internal_Parking B123'!F86</f>
        <v>2F-B3-2</v>
      </c>
      <c r="F81" s="854" t="str">
        <f>'Corrected Internal_Parking B123'!G86</f>
        <v>Single Slot</v>
      </c>
      <c r="G81" s="855">
        <f>'Corrected Internal_Parking B123'!H86</f>
        <v>13.5</v>
      </c>
      <c r="H81" s="856">
        <f>'Corrected Internal_Parking B123'!AT86</f>
        <v>755864.7890625</v>
      </c>
      <c r="I81" s="857">
        <f>'Corrected Internal_Parking B123'!AV86</f>
        <v>75586.478906250006</v>
      </c>
      <c r="J81" s="858">
        <f>'Corrected Internal_Parking B123'!AU86</f>
        <v>90703.774687500001</v>
      </c>
      <c r="K81" s="855">
        <f>'Corrected Internal_Parking B123'!AW86</f>
        <v>922155.04265624995</v>
      </c>
      <c r="L81" s="859">
        <f>'Corrected Internal_Parking B123'!AX86</f>
        <v>0.15</v>
      </c>
      <c r="M81" s="856">
        <f>'Corrected Internal_Parking B123'!AY86</f>
        <v>138323.25639843749</v>
      </c>
      <c r="N81" s="856">
        <f>'Corrected Internal_Parking B123'!AZ86</f>
        <v>10000</v>
      </c>
      <c r="O81" s="856">
        <f>'Corrected Internal_Parking B123'!BA86</f>
        <v>128323.25639843749</v>
      </c>
      <c r="P81" s="860">
        <f>'Corrected Internal_Parking B123'!BB86</f>
        <v>31</v>
      </c>
      <c r="Q81" s="856">
        <f>'Corrected Internal_Parking B123'!BC86</f>
        <v>4139.4598838205638</v>
      </c>
      <c r="R81" s="856">
        <f>'Corrected Internal_Parking B123'!BE86</f>
        <v>783831.7862578124</v>
      </c>
      <c r="S81" s="856">
        <f>'Corrected Internal_Parking B123'!BF86</f>
        <v>7045.3016908127875</v>
      </c>
      <c r="T81" s="856">
        <f>'Corrected Internal_Parking B123'!BG86</f>
        <v>9100.9516665612191</v>
      </c>
      <c r="U81" s="856">
        <f>'Corrected Internal_Parking B123'!BH86</f>
        <v>15520.808821927765</v>
      </c>
      <c r="W81" s="861">
        <f>H81-'Corrected Internal_Parking B123'!AT86</f>
        <v>0</v>
      </c>
      <c r="X81" s="861">
        <f>J81-'Corrected Internal_Parking B123'!AU86</f>
        <v>0</v>
      </c>
      <c r="Y81" s="861">
        <f>I81-'Corrected Internal_Parking B123'!AV86</f>
        <v>0</v>
      </c>
      <c r="Z81" s="861">
        <f>K81-'Corrected Internal_Parking B123'!AW86</f>
        <v>0</v>
      </c>
      <c r="AA81" s="862">
        <f>L81-'Corrected Internal_Parking B123'!AX86</f>
        <v>0</v>
      </c>
      <c r="AB81" s="861">
        <f>N81-'Corrected Internal_Parking B123'!AZ86</f>
        <v>0</v>
      </c>
      <c r="AC81" s="861">
        <f>Q81-'Corrected Internal_Parking B123'!BC86</f>
        <v>0</v>
      </c>
    </row>
    <row r="82" spans="1:29" ht="12.75" hidden="1" customHeight="1" x14ac:dyDescent="0.3">
      <c r="A82" s="863" t="str">
        <f t="shared" si="1"/>
        <v>2F-B3-3</v>
      </c>
      <c r="B82" s="864" t="str">
        <f>'Corrected Internal_Parking B123'!CA87</f>
        <v>SOLD</v>
      </c>
      <c r="C82" s="822" t="str">
        <f>'Corrected Internal_Parking B123'!C87</f>
        <v>Building 3</v>
      </c>
      <c r="D82" s="852" t="str">
        <f>'Corrected Internal_Parking B123'!E87</f>
        <v>2nd Floor</v>
      </c>
      <c r="E82" s="853" t="str">
        <f>'Corrected Internal_Parking B123'!F87</f>
        <v>2F-B3-3</v>
      </c>
      <c r="F82" s="854" t="str">
        <f>'Corrected Internal_Parking B123'!G87</f>
        <v>Single Slot</v>
      </c>
      <c r="G82" s="855">
        <f>'Corrected Internal_Parking B123'!H87</f>
        <v>13.5</v>
      </c>
      <c r="H82" s="856">
        <f>'Corrected Internal_Parking B123'!AT87</f>
        <v>755864.7890625</v>
      </c>
      <c r="I82" s="857">
        <f>'Corrected Internal_Parking B123'!AV87</f>
        <v>75586.478906250006</v>
      </c>
      <c r="J82" s="858">
        <f>'Corrected Internal_Parking B123'!AU87</f>
        <v>90703.774687500001</v>
      </c>
      <c r="K82" s="855">
        <f>'Corrected Internal_Parking B123'!AW87</f>
        <v>922155.04265624995</v>
      </c>
      <c r="L82" s="859">
        <f>'Corrected Internal_Parking B123'!AX87</f>
        <v>0.15</v>
      </c>
      <c r="M82" s="856">
        <f>'Corrected Internal_Parking B123'!AY87</f>
        <v>138323.25639843749</v>
      </c>
      <c r="N82" s="856">
        <f>'Corrected Internal_Parking B123'!AZ87</f>
        <v>10000</v>
      </c>
      <c r="O82" s="856">
        <f>'Corrected Internal_Parking B123'!BA87</f>
        <v>128323.25639843749</v>
      </c>
      <c r="P82" s="860">
        <f>'Corrected Internal_Parking B123'!BB87</f>
        <v>31</v>
      </c>
      <c r="Q82" s="856">
        <f>'Corrected Internal_Parking B123'!BC87</f>
        <v>4139.4598838205638</v>
      </c>
      <c r="R82" s="856">
        <f>'Corrected Internal_Parking B123'!BE87</f>
        <v>783831.7862578124</v>
      </c>
      <c r="S82" s="856">
        <f>'Corrected Internal_Parking B123'!BF87</f>
        <v>7045.3016908127875</v>
      </c>
      <c r="T82" s="856">
        <f>'Corrected Internal_Parking B123'!BG87</f>
        <v>9100.9516665612191</v>
      </c>
      <c r="U82" s="856">
        <f>'Corrected Internal_Parking B123'!BH87</f>
        <v>15520.808821927765</v>
      </c>
      <c r="W82" s="861">
        <f>H82-'Corrected Internal_Parking B123'!AT87</f>
        <v>0</v>
      </c>
      <c r="X82" s="861">
        <f>J82-'Corrected Internal_Parking B123'!AU87</f>
        <v>0</v>
      </c>
      <c r="Y82" s="861">
        <f>I82-'Corrected Internal_Parking B123'!AV87</f>
        <v>0</v>
      </c>
      <c r="Z82" s="861">
        <f>K82-'Corrected Internal_Parking B123'!AW87</f>
        <v>0</v>
      </c>
      <c r="AA82" s="862">
        <f>L82-'Corrected Internal_Parking B123'!AX87</f>
        <v>0</v>
      </c>
      <c r="AB82" s="861">
        <f>N82-'Corrected Internal_Parking B123'!AZ87</f>
        <v>0</v>
      </c>
      <c r="AC82" s="861">
        <f>Q82-'Corrected Internal_Parking B123'!BC87</f>
        <v>0</v>
      </c>
    </row>
    <row r="83" spans="1:29" ht="12.75" hidden="1" customHeight="1" x14ac:dyDescent="0.3">
      <c r="A83" s="863" t="str">
        <f t="shared" si="1"/>
        <v>2F-B3-4</v>
      </c>
      <c r="B83" s="864" t="str">
        <f>'Corrected Internal_Parking B123'!CA88</f>
        <v>SOLD</v>
      </c>
      <c r="C83" s="822" t="str">
        <f>'Corrected Internal_Parking B123'!C88</f>
        <v>Building 3</v>
      </c>
      <c r="D83" s="852" t="str">
        <f>'Corrected Internal_Parking B123'!E88</f>
        <v>2nd Floor</v>
      </c>
      <c r="E83" s="853" t="str">
        <f>'Corrected Internal_Parking B123'!F88</f>
        <v>2F-B3-4</v>
      </c>
      <c r="F83" s="854" t="str">
        <f>'Corrected Internal_Parking B123'!G88</f>
        <v>Single Slot</v>
      </c>
      <c r="G83" s="855">
        <f>'Corrected Internal_Parking B123'!H88</f>
        <v>13.5</v>
      </c>
      <c r="H83" s="856">
        <f>'Corrected Internal_Parking B123'!AT88</f>
        <v>755864.7890625</v>
      </c>
      <c r="I83" s="857">
        <f>'Corrected Internal_Parking B123'!AV88</f>
        <v>75586.478906250006</v>
      </c>
      <c r="J83" s="858">
        <f>'Corrected Internal_Parking B123'!AU88</f>
        <v>90703.774687500001</v>
      </c>
      <c r="K83" s="855">
        <f>'Corrected Internal_Parking B123'!AW88</f>
        <v>922155.04265624995</v>
      </c>
      <c r="L83" s="859">
        <f>'Corrected Internal_Parking B123'!AX88</f>
        <v>0.15</v>
      </c>
      <c r="M83" s="856">
        <f>'Corrected Internal_Parking B123'!AY88</f>
        <v>138323.25639843749</v>
      </c>
      <c r="N83" s="856">
        <f>'Corrected Internal_Parking B123'!AZ88</f>
        <v>10000</v>
      </c>
      <c r="O83" s="856">
        <f>'Corrected Internal_Parking B123'!BA88</f>
        <v>128323.25639843749</v>
      </c>
      <c r="P83" s="860">
        <f>'Corrected Internal_Parking B123'!BB88</f>
        <v>31</v>
      </c>
      <c r="Q83" s="856">
        <f>'Corrected Internal_Parking B123'!BC88</f>
        <v>4139.4598838205638</v>
      </c>
      <c r="R83" s="856">
        <f>'Corrected Internal_Parking B123'!BE88</f>
        <v>783831.7862578124</v>
      </c>
      <c r="S83" s="856">
        <f>'Corrected Internal_Parking B123'!BF88</f>
        <v>7045.3016908127875</v>
      </c>
      <c r="T83" s="856">
        <f>'Corrected Internal_Parking B123'!BG88</f>
        <v>9100.9516665612191</v>
      </c>
      <c r="U83" s="856">
        <f>'Corrected Internal_Parking B123'!BH88</f>
        <v>15520.808821927765</v>
      </c>
      <c r="W83" s="861">
        <f>H83-'Corrected Internal_Parking B123'!AT88</f>
        <v>0</v>
      </c>
      <c r="X83" s="861">
        <f>J83-'Corrected Internal_Parking B123'!AU88</f>
        <v>0</v>
      </c>
      <c r="Y83" s="861">
        <f>I83-'Corrected Internal_Parking B123'!AV88</f>
        <v>0</v>
      </c>
      <c r="Z83" s="861">
        <f>K83-'Corrected Internal_Parking B123'!AW88</f>
        <v>0</v>
      </c>
      <c r="AA83" s="862">
        <f>L83-'Corrected Internal_Parking B123'!AX88</f>
        <v>0</v>
      </c>
      <c r="AB83" s="861">
        <f>N83-'Corrected Internal_Parking B123'!AZ88</f>
        <v>0</v>
      </c>
      <c r="AC83" s="861">
        <f>Q83-'Corrected Internal_Parking B123'!BC88</f>
        <v>0</v>
      </c>
    </row>
    <row r="84" spans="1:29" ht="12.75" hidden="1" customHeight="1" x14ac:dyDescent="0.3">
      <c r="A84" s="863" t="str">
        <f t="shared" si="1"/>
        <v>2F-B3-5</v>
      </c>
      <c r="B84" s="864" t="str">
        <f>'Corrected Internal_Parking B123'!CA89</f>
        <v>SOLD</v>
      </c>
      <c r="C84" s="822" t="str">
        <f>'Corrected Internal_Parking B123'!C89</f>
        <v>Building 3</v>
      </c>
      <c r="D84" s="852" t="str">
        <f>'Corrected Internal_Parking B123'!E89</f>
        <v>2nd Floor</v>
      </c>
      <c r="E84" s="853" t="str">
        <f>'Corrected Internal_Parking B123'!F89</f>
        <v>2F-B3-5</v>
      </c>
      <c r="F84" s="854" t="str">
        <f>'Corrected Internal_Parking B123'!G89</f>
        <v>Single Slot</v>
      </c>
      <c r="G84" s="855">
        <f>'Corrected Internal_Parking B123'!H89</f>
        <v>13.5</v>
      </c>
      <c r="H84" s="856">
        <f>'Corrected Internal_Parking B123'!AT89</f>
        <v>755864.7890625</v>
      </c>
      <c r="I84" s="857">
        <f>'Corrected Internal_Parking B123'!AV89</f>
        <v>75586.478906250006</v>
      </c>
      <c r="J84" s="858">
        <f>'Corrected Internal_Parking B123'!AU89</f>
        <v>90703.774687500001</v>
      </c>
      <c r="K84" s="855">
        <f>'Corrected Internal_Parking B123'!AW89</f>
        <v>922155.04265624995</v>
      </c>
      <c r="L84" s="859">
        <f>'Corrected Internal_Parking B123'!AX89</f>
        <v>0.15</v>
      </c>
      <c r="M84" s="856">
        <f>'Corrected Internal_Parking B123'!AY89</f>
        <v>138323.25639843749</v>
      </c>
      <c r="N84" s="856">
        <f>'Corrected Internal_Parking B123'!AZ89</f>
        <v>10000</v>
      </c>
      <c r="O84" s="856">
        <f>'Corrected Internal_Parking B123'!BA89</f>
        <v>128323.25639843749</v>
      </c>
      <c r="P84" s="860">
        <f>'Corrected Internal_Parking B123'!BB89</f>
        <v>31</v>
      </c>
      <c r="Q84" s="856">
        <f>'Corrected Internal_Parking B123'!BC89</f>
        <v>4139.4598838205638</v>
      </c>
      <c r="R84" s="856">
        <f>'Corrected Internal_Parking B123'!BE89</f>
        <v>783831.7862578124</v>
      </c>
      <c r="S84" s="856">
        <f>'Corrected Internal_Parking B123'!BF89</f>
        <v>7045.3016908127875</v>
      </c>
      <c r="T84" s="856">
        <f>'Corrected Internal_Parking B123'!BG89</f>
        <v>9100.9516665612191</v>
      </c>
      <c r="U84" s="856">
        <f>'Corrected Internal_Parking B123'!BH89</f>
        <v>15520.808821927765</v>
      </c>
      <c r="W84" s="861">
        <f>H84-'Corrected Internal_Parking B123'!AT89</f>
        <v>0</v>
      </c>
      <c r="X84" s="861">
        <f>J84-'Corrected Internal_Parking B123'!AU89</f>
        <v>0</v>
      </c>
      <c r="Y84" s="861">
        <f>I84-'Corrected Internal_Parking B123'!AV89</f>
        <v>0</v>
      </c>
      <c r="Z84" s="861">
        <f>K84-'Corrected Internal_Parking B123'!AW89</f>
        <v>0</v>
      </c>
      <c r="AA84" s="862">
        <f>L84-'Corrected Internal_Parking B123'!AX89</f>
        <v>0</v>
      </c>
      <c r="AB84" s="861">
        <f>N84-'Corrected Internal_Parking B123'!AZ89</f>
        <v>0</v>
      </c>
      <c r="AC84" s="861">
        <f>Q84-'Corrected Internal_Parking B123'!BC89</f>
        <v>0</v>
      </c>
    </row>
    <row r="85" spans="1:29" ht="12.75" hidden="1" customHeight="1" x14ac:dyDescent="0.3">
      <c r="A85" s="863" t="str">
        <f t="shared" si="1"/>
        <v>2F-B3-6</v>
      </c>
      <c r="B85" s="864" t="str">
        <f>'Corrected Internal_Parking B123'!CA90</f>
        <v>SOLD</v>
      </c>
      <c r="C85" s="822" t="str">
        <f>'Corrected Internal_Parking B123'!C90</f>
        <v>Building 3</v>
      </c>
      <c r="D85" s="852" t="str">
        <f>'Corrected Internal_Parking B123'!E90</f>
        <v>2nd Floor</v>
      </c>
      <c r="E85" s="853" t="str">
        <f>'Corrected Internal_Parking B123'!F90</f>
        <v>2F-B3-6</v>
      </c>
      <c r="F85" s="854" t="str">
        <f>'Corrected Internal_Parking B123'!G90</f>
        <v>Single Slot</v>
      </c>
      <c r="G85" s="855">
        <f>'Corrected Internal_Parking B123'!H90</f>
        <v>13.5</v>
      </c>
      <c r="H85" s="856">
        <f>'Corrected Internal_Parking B123'!AT90</f>
        <v>755864.7890625</v>
      </c>
      <c r="I85" s="857">
        <f>'Corrected Internal_Parking B123'!AV90</f>
        <v>75586.478906250006</v>
      </c>
      <c r="J85" s="858">
        <f>'Corrected Internal_Parking B123'!AU90</f>
        <v>90703.774687500001</v>
      </c>
      <c r="K85" s="855">
        <f>'Corrected Internal_Parking B123'!AW90</f>
        <v>922155.04265624995</v>
      </c>
      <c r="L85" s="859">
        <f>'Corrected Internal_Parking B123'!AX90</f>
        <v>0.15</v>
      </c>
      <c r="M85" s="856">
        <f>'Corrected Internal_Parking B123'!AY90</f>
        <v>138323.25639843749</v>
      </c>
      <c r="N85" s="856">
        <f>'Corrected Internal_Parking B123'!AZ90</f>
        <v>10000</v>
      </c>
      <c r="O85" s="856">
        <f>'Corrected Internal_Parking B123'!BA90</f>
        <v>128323.25639843749</v>
      </c>
      <c r="P85" s="860">
        <f>'Corrected Internal_Parking B123'!BB90</f>
        <v>31</v>
      </c>
      <c r="Q85" s="856">
        <f>'Corrected Internal_Parking B123'!BC90</f>
        <v>4139.4598838205638</v>
      </c>
      <c r="R85" s="856">
        <f>'Corrected Internal_Parking B123'!BE90</f>
        <v>783831.7862578124</v>
      </c>
      <c r="S85" s="856">
        <f>'Corrected Internal_Parking B123'!BF90</f>
        <v>7045.3016908127875</v>
      </c>
      <c r="T85" s="856">
        <f>'Corrected Internal_Parking B123'!BG90</f>
        <v>9100.9516665612191</v>
      </c>
      <c r="U85" s="856">
        <f>'Corrected Internal_Parking B123'!BH90</f>
        <v>15520.808821927765</v>
      </c>
      <c r="W85" s="861">
        <f>H85-'Corrected Internal_Parking B123'!AT90</f>
        <v>0</v>
      </c>
      <c r="X85" s="861">
        <f>J85-'Corrected Internal_Parking B123'!AU90</f>
        <v>0</v>
      </c>
      <c r="Y85" s="861">
        <f>I85-'Corrected Internal_Parking B123'!AV90</f>
        <v>0</v>
      </c>
      <c r="Z85" s="861">
        <f>K85-'Corrected Internal_Parking B123'!AW90</f>
        <v>0</v>
      </c>
      <c r="AA85" s="862">
        <f>L85-'Corrected Internal_Parking B123'!AX90</f>
        <v>0</v>
      </c>
      <c r="AB85" s="861">
        <f>N85-'Corrected Internal_Parking B123'!AZ90</f>
        <v>0</v>
      </c>
      <c r="AC85" s="861">
        <f>Q85-'Corrected Internal_Parking B123'!BC90</f>
        <v>0</v>
      </c>
    </row>
    <row r="86" spans="1:29" ht="12.75" hidden="1" customHeight="1" x14ac:dyDescent="0.3">
      <c r="A86" s="863" t="str">
        <f t="shared" si="1"/>
        <v>2F-B3-7</v>
      </c>
      <c r="B86" s="864" t="str">
        <f>'Corrected Internal_Parking B123'!CA91</f>
        <v>SOLD</v>
      </c>
      <c r="C86" s="822" t="str">
        <f>'Corrected Internal_Parking B123'!C91</f>
        <v>Building 3</v>
      </c>
      <c r="D86" s="852" t="str">
        <f>'Corrected Internal_Parking B123'!E91</f>
        <v>2nd Floor</v>
      </c>
      <c r="E86" s="853" t="str">
        <f>'Corrected Internal_Parking B123'!F91</f>
        <v>2F-B3-7</v>
      </c>
      <c r="F86" s="854" t="str">
        <f>'Corrected Internal_Parking B123'!G91</f>
        <v>Single Slot</v>
      </c>
      <c r="G86" s="855">
        <f>'Corrected Internal_Parking B123'!H91</f>
        <v>13.5</v>
      </c>
      <c r="H86" s="856">
        <f>'Corrected Internal_Parking B123'!AT91</f>
        <v>755864.7890625</v>
      </c>
      <c r="I86" s="857">
        <f>'Corrected Internal_Parking B123'!AV91</f>
        <v>75586.478906250006</v>
      </c>
      <c r="J86" s="858">
        <f>'Corrected Internal_Parking B123'!AU91</f>
        <v>90703.774687500001</v>
      </c>
      <c r="K86" s="855">
        <f>'Corrected Internal_Parking B123'!AW91</f>
        <v>922155.04265624995</v>
      </c>
      <c r="L86" s="859">
        <f>'Corrected Internal_Parking B123'!AX91</f>
        <v>0.15</v>
      </c>
      <c r="M86" s="856">
        <f>'Corrected Internal_Parking B123'!AY91</f>
        <v>138323.25639843749</v>
      </c>
      <c r="N86" s="856">
        <f>'Corrected Internal_Parking B123'!AZ91</f>
        <v>10000</v>
      </c>
      <c r="O86" s="856">
        <f>'Corrected Internal_Parking B123'!BA91</f>
        <v>128323.25639843749</v>
      </c>
      <c r="P86" s="860">
        <f>'Corrected Internal_Parking B123'!BB91</f>
        <v>31</v>
      </c>
      <c r="Q86" s="856">
        <f>'Corrected Internal_Parking B123'!BC91</f>
        <v>4139.4598838205638</v>
      </c>
      <c r="R86" s="856">
        <f>'Corrected Internal_Parking B123'!BE91</f>
        <v>783831.7862578124</v>
      </c>
      <c r="S86" s="856">
        <f>'Corrected Internal_Parking B123'!BF91</f>
        <v>7045.3016908127875</v>
      </c>
      <c r="T86" s="856">
        <f>'Corrected Internal_Parking B123'!BG91</f>
        <v>9100.9516665612191</v>
      </c>
      <c r="U86" s="856">
        <f>'Corrected Internal_Parking B123'!BH91</f>
        <v>15520.808821927765</v>
      </c>
      <c r="W86" s="861">
        <f>H86-'Corrected Internal_Parking B123'!AT91</f>
        <v>0</v>
      </c>
      <c r="X86" s="861">
        <f>J86-'Corrected Internal_Parking B123'!AU91</f>
        <v>0</v>
      </c>
      <c r="Y86" s="861">
        <f>I86-'Corrected Internal_Parking B123'!AV91</f>
        <v>0</v>
      </c>
      <c r="Z86" s="861">
        <f>K86-'Corrected Internal_Parking B123'!AW91</f>
        <v>0</v>
      </c>
      <c r="AA86" s="862">
        <f>L86-'Corrected Internal_Parking B123'!AX91</f>
        <v>0</v>
      </c>
      <c r="AB86" s="861">
        <f>N86-'Corrected Internal_Parking B123'!AZ91</f>
        <v>0</v>
      </c>
      <c r="AC86" s="861">
        <f>Q86-'Corrected Internal_Parking B123'!BC91</f>
        <v>0</v>
      </c>
    </row>
    <row r="87" spans="1:29" ht="12.75" hidden="1" customHeight="1" x14ac:dyDescent="0.3">
      <c r="A87" s="863" t="str">
        <f t="shared" si="1"/>
        <v>2F-B3-8</v>
      </c>
      <c r="B87" s="864" t="str">
        <f>'Corrected Internal_Parking B123'!CA92</f>
        <v>SOLD</v>
      </c>
      <c r="C87" s="822" t="str">
        <f>'Corrected Internal_Parking B123'!C92</f>
        <v>Building 3</v>
      </c>
      <c r="D87" s="852" t="str">
        <f>'Corrected Internal_Parking B123'!E92</f>
        <v>2nd Floor</v>
      </c>
      <c r="E87" s="853" t="str">
        <f>'Corrected Internal_Parking B123'!F92</f>
        <v>2F-B3-8</v>
      </c>
      <c r="F87" s="854" t="str">
        <f>'Corrected Internal_Parking B123'!G92</f>
        <v>Single Slot</v>
      </c>
      <c r="G87" s="855">
        <f>'Corrected Internal_Parking B123'!H92</f>
        <v>13.5</v>
      </c>
      <c r="H87" s="856">
        <f>'Corrected Internal_Parking B123'!AT92</f>
        <v>755864.7890625</v>
      </c>
      <c r="I87" s="857">
        <f>'Corrected Internal_Parking B123'!AV92</f>
        <v>75586.478906250006</v>
      </c>
      <c r="J87" s="858">
        <f>'Corrected Internal_Parking B123'!AU92</f>
        <v>90703.774687500001</v>
      </c>
      <c r="K87" s="855">
        <f>'Corrected Internal_Parking B123'!AW92</f>
        <v>922155.04265624995</v>
      </c>
      <c r="L87" s="859">
        <f>'Corrected Internal_Parking B123'!AX92</f>
        <v>0.15</v>
      </c>
      <c r="M87" s="856">
        <f>'Corrected Internal_Parking B123'!AY92</f>
        <v>138323.25639843749</v>
      </c>
      <c r="N87" s="856">
        <f>'Corrected Internal_Parking B123'!AZ92</f>
        <v>10000</v>
      </c>
      <c r="O87" s="856">
        <f>'Corrected Internal_Parking B123'!BA92</f>
        <v>128323.25639843749</v>
      </c>
      <c r="P87" s="860">
        <f>'Corrected Internal_Parking B123'!BB92</f>
        <v>31</v>
      </c>
      <c r="Q87" s="856">
        <f>'Corrected Internal_Parking B123'!BC92</f>
        <v>4139.4598838205638</v>
      </c>
      <c r="R87" s="856">
        <f>'Corrected Internal_Parking B123'!BE92</f>
        <v>783831.7862578124</v>
      </c>
      <c r="S87" s="856">
        <f>'Corrected Internal_Parking B123'!BF92</f>
        <v>7045.3016908127875</v>
      </c>
      <c r="T87" s="856">
        <f>'Corrected Internal_Parking B123'!BG92</f>
        <v>9100.9516665612191</v>
      </c>
      <c r="U87" s="856">
        <f>'Corrected Internal_Parking B123'!BH92</f>
        <v>15520.808821927765</v>
      </c>
      <c r="W87" s="861">
        <f>H87-'Corrected Internal_Parking B123'!AT92</f>
        <v>0</v>
      </c>
      <c r="X87" s="861">
        <f>J87-'Corrected Internal_Parking B123'!AU92</f>
        <v>0</v>
      </c>
      <c r="Y87" s="861">
        <f>I87-'Corrected Internal_Parking B123'!AV92</f>
        <v>0</v>
      </c>
      <c r="Z87" s="861">
        <f>K87-'Corrected Internal_Parking B123'!AW92</f>
        <v>0</v>
      </c>
      <c r="AA87" s="862">
        <f>L87-'Corrected Internal_Parking B123'!AX92</f>
        <v>0</v>
      </c>
      <c r="AB87" s="861">
        <f>N87-'Corrected Internal_Parking B123'!AZ92</f>
        <v>0</v>
      </c>
      <c r="AC87" s="861">
        <f>Q87-'Corrected Internal_Parking B123'!BC92</f>
        <v>0</v>
      </c>
    </row>
    <row r="88" spans="1:29" ht="12.75" hidden="1" customHeight="1" x14ac:dyDescent="0.3">
      <c r="A88" s="863" t="str">
        <f t="shared" si="1"/>
        <v>2F-B3-9</v>
      </c>
      <c r="B88" s="864" t="str">
        <f>'Corrected Internal_Parking B123'!CA93</f>
        <v>SOLD</v>
      </c>
      <c r="C88" s="822" t="str">
        <f>'Corrected Internal_Parking B123'!C93</f>
        <v>Building 3</v>
      </c>
      <c r="D88" s="852" t="str">
        <f>'Corrected Internal_Parking B123'!E93</f>
        <v>2nd Floor</v>
      </c>
      <c r="E88" s="853" t="str">
        <f>'Corrected Internal_Parking B123'!F93</f>
        <v>2F-B3-9</v>
      </c>
      <c r="F88" s="854" t="str">
        <f>'Corrected Internal_Parking B123'!G93</f>
        <v>Single Slot</v>
      </c>
      <c r="G88" s="855">
        <f>'Corrected Internal_Parking B123'!H93</f>
        <v>13.5</v>
      </c>
      <c r="H88" s="856">
        <f>'Corrected Internal_Parking B123'!AT93</f>
        <v>755864.7890625</v>
      </c>
      <c r="I88" s="857">
        <f>'Corrected Internal_Parking B123'!AV93</f>
        <v>75586.478906250006</v>
      </c>
      <c r="J88" s="858">
        <f>'Corrected Internal_Parking B123'!AU93</f>
        <v>90703.774687500001</v>
      </c>
      <c r="K88" s="855">
        <f>'Corrected Internal_Parking B123'!AW93</f>
        <v>922155.04265624995</v>
      </c>
      <c r="L88" s="859">
        <f>'Corrected Internal_Parking B123'!AX93</f>
        <v>0.15</v>
      </c>
      <c r="M88" s="856">
        <f>'Corrected Internal_Parking B123'!AY93</f>
        <v>138323.25639843749</v>
      </c>
      <c r="N88" s="856">
        <f>'Corrected Internal_Parking B123'!AZ93</f>
        <v>10000</v>
      </c>
      <c r="O88" s="856">
        <f>'Corrected Internal_Parking B123'!BA93</f>
        <v>128323.25639843749</v>
      </c>
      <c r="P88" s="860">
        <f>'Corrected Internal_Parking B123'!BB93</f>
        <v>31</v>
      </c>
      <c r="Q88" s="856">
        <f>'Corrected Internal_Parking B123'!BC93</f>
        <v>4139.4598838205638</v>
      </c>
      <c r="R88" s="856">
        <f>'Corrected Internal_Parking B123'!BE93</f>
        <v>783831.7862578124</v>
      </c>
      <c r="S88" s="856">
        <f>'Corrected Internal_Parking B123'!BF93</f>
        <v>7045.3016908127875</v>
      </c>
      <c r="T88" s="856">
        <f>'Corrected Internal_Parking B123'!BG93</f>
        <v>9100.9516665612191</v>
      </c>
      <c r="U88" s="856">
        <f>'Corrected Internal_Parking B123'!BH93</f>
        <v>15520.808821927765</v>
      </c>
      <c r="W88" s="861">
        <f>H88-'Corrected Internal_Parking B123'!AT93</f>
        <v>0</v>
      </c>
      <c r="X88" s="861">
        <f>J88-'Corrected Internal_Parking B123'!AU93</f>
        <v>0</v>
      </c>
      <c r="Y88" s="861">
        <f>I88-'Corrected Internal_Parking B123'!AV93</f>
        <v>0</v>
      </c>
      <c r="Z88" s="861">
        <f>K88-'Corrected Internal_Parking B123'!AW93</f>
        <v>0</v>
      </c>
      <c r="AA88" s="862">
        <f>L88-'Corrected Internal_Parking B123'!AX93</f>
        <v>0</v>
      </c>
      <c r="AB88" s="861">
        <f>N88-'Corrected Internal_Parking B123'!AZ93</f>
        <v>0</v>
      </c>
      <c r="AC88" s="861">
        <f>Q88-'Corrected Internal_Parking B123'!BC93</f>
        <v>0</v>
      </c>
    </row>
    <row r="89" spans="1:29" ht="12.75" hidden="1" customHeight="1" x14ac:dyDescent="0.3">
      <c r="A89" s="863" t="str">
        <f t="shared" si="1"/>
        <v>2F-B3-10</v>
      </c>
      <c r="B89" s="864" t="str">
        <f>'Corrected Internal_Parking B123'!CA94</f>
        <v>SOLD</v>
      </c>
      <c r="C89" s="822" t="str">
        <f>'Corrected Internal_Parking B123'!C94</f>
        <v>Building 3</v>
      </c>
      <c r="D89" s="852" t="str">
        <f>'Corrected Internal_Parking B123'!E94</f>
        <v>2nd Floor</v>
      </c>
      <c r="E89" s="853" t="str">
        <f>'Corrected Internal_Parking B123'!F94</f>
        <v>2F-B3-10</v>
      </c>
      <c r="F89" s="854" t="str">
        <f>'Corrected Internal_Parking B123'!G94</f>
        <v>Single Slot</v>
      </c>
      <c r="G89" s="855">
        <f>'Corrected Internal_Parking B123'!H94</f>
        <v>13.5</v>
      </c>
      <c r="H89" s="856">
        <f>'Corrected Internal_Parking B123'!AT94</f>
        <v>755864.7890625</v>
      </c>
      <c r="I89" s="857">
        <f>'Corrected Internal_Parking B123'!AV94</f>
        <v>75586.478906250006</v>
      </c>
      <c r="J89" s="858">
        <f>'Corrected Internal_Parking B123'!AU94</f>
        <v>90703.774687500001</v>
      </c>
      <c r="K89" s="855">
        <f>'Corrected Internal_Parking B123'!AW94</f>
        <v>922155.04265624995</v>
      </c>
      <c r="L89" s="859">
        <f>'Corrected Internal_Parking B123'!AX94</f>
        <v>0.15</v>
      </c>
      <c r="M89" s="856">
        <f>'Corrected Internal_Parking B123'!AY94</f>
        <v>138323.25639843749</v>
      </c>
      <c r="N89" s="856">
        <f>'Corrected Internal_Parking B123'!AZ94</f>
        <v>10000</v>
      </c>
      <c r="O89" s="856">
        <f>'Corrected Internal_Parking B123'!BA94</f>
        <v>128323.25639843749</v>
      </c>
      <c r="P89" s="860">
        <f>'Corrected Internal_Parking B123'!BB94</f>
        <v>31</v>
      </c>
      <c r="Q89" s="856">
        <f>'Corrected Internal_Parking B123'!BC94</f>
        <v>4139.4598838205638</v>
      </c>
      <c r="R89" s="856">
        <f>'Corrected Internal_Parking B123'!BE94</f>
        <v>783831.7862578124</v>
      </c>
      <c r="S89" s="856">
        <f>'Corrected Internal_Parking B123'!BF94</f>
        <v>7045.3016908127875</v>
      </c>
      <c r="T89" s="856">
        <f>'Corrected Internal_Parking B123'!BG94</f>
        <v>9100.9516665612191</v>
      </c>
      <c r="U89" s="856">
        <f>'Corrected Internal_Parking B123'!BH94</f>
        <v>15520.808821927765</v>
      </c>
      <c r="W89" s="861">
        <f>H89-'Corrected Internal_Parking B123'!AT94</f>
        <v>0</v>
      </c>
      <c r="X89" s="861">
        <f>J89-'Corrected Internal_Parking B123'!AU94</f>
        <v>0</v>
      </c>
      <c r="Y89" s="861">
        <f>I89-'Corrected Internal_Parking B123'!AV94</f>
        <v>0</v>
      </c>
      <c r="Z89" s="861">
        <f>K89-'Corrected Internal_Parking B123'!AW94</f>
        <v>0</v>
      </c>
      <c r="AA89" s="862">
        <f>L89-'Corrected Internal_Parking B123'!AX94</f>
        <v>0</v>
      </c>
      <c r="AB89" s="861">
        <f>N89-'Corrected Internal_Parking B123'!AZ94</f>
        <v>0</v>
      </c>
      <c r="AC89" s="861">
        <f>Q89-'Corrected Internal_Parking B123'!BC94</f>
        <v>0</v>
      </c>
    </row>
    <row r="90" spans="1:29" ht="12.75" hidden="1" customHeight="1" x14ac:dyDescent="0.3">
      <c r="A90" s="863" t="str">
        <f t="shared" si="1"/>
        <v>2F-B3-11</v>
      </c>
      <c r="B90" s="864" t="str">
        <f>'Corrected Internal_Parking B123'!CA95</f>
        <v>SOLD</v>
      </c>
      <c r="C90" s="822" t="str">
        <f>'Corrected Internal_Parking B123'!C95</f>
        <v>Building 3</v>
      </c>
      <c r="D90" s="852" t="str">
        <f>'Corrected Internal_Parking B123'!E95</f>
        <v>2nd Floor</v>
      </c>
      <c r="E90" s="853" t="str">
        <f>'Corrected Internal_Parking B123'!F95</f>
        <v>2F-B3-11</v>
      </c>
      <c r="F90" s="854" t="str">
        <f>'Corrected Internal_Parking B123'!G95</f>
        <v>Single Slot</v>
      </c>
      <c r="G90" s="855">
        <f>'Corrected Internal_Parking B123'!H95</f>
        <v>13.5</v>
      </c>
      <c r="H90" s="856">
        <f>'Corrected Internal_Parking B123'!AT95</f>
        <v>755864.7890625</v>
      </c>
      <c r="I90" s="857">
        <f>'Corrected Internal_Parking B123'!AV95</f>
        <v>75586.478906250006</v>
      </c>
      <c r="J90" s="858">
        <f>'Corrected Internal_Parking B123'!AU95</f>
        <v>90703.774687500001</v>
      </c>
      <c r="K90" s="855">
        <f>'Corrected Internal_Parking B123'!AW95</f>
        <v>922155.04265624995</v>
      </c>
      <c r="L90" s="859">
        <f>'Corrected Internal_Parking B123'!AX95</f>
        <v>0.15</v>
      </c>
      <c r="M90" s="856">
        <f>'Corrected Internal_Parking B123'!AY95</f>
        <v>138323.25639843749</v>
      </c>
      <c r="N90" s="856">
        <f>'Corrected Internal_Parking B123'!AZ95</f>
        <v>10000</v>
      </c>
      <c r="O90" s="856">
        <f>'Corrected Internal_Parking B123'!BA95</f>
        <v>128323.25639843749</v>
      </c>
      <c r="P90" s="860">
        <f>'Corrected Internal_Parking B123'!BB95</f>
        <v>31</v>
      </c>
      <c r="Q90" s="856">
        <f>'Corrected Internal_Parking B123'!BC95</f>
        <v>4139.4598838205638</v>
      </c>
      <c r="R90" s="856">
        <f>'Corrected Internal_Parking B123'!BE95</f>
        <v>783831.7862578124</v>
      </c>
      <c r="S90" s="856">
        <f>'Corrected Internal_Parking B123'!BF95</f>
        <v>7045.3016908127875</v>
      </c>
      <c r="T90" s="856">
        <f>'Corrected Internal_Parking B123'!BG95</f>
        <v>9100.9516665612191</v>
      </c>
      <c r="U90" s="856">
        <f>'Corrected Internal_Parking B123'!BH95</f>
        <v>15520.808821927765</v>
      </c>
      <c r="W90" s="861">
        <f>H90-'Corrected Internal_Parking B123'!AT95</f>
        <v>0</v>
      </c>
      <c r="X90" s="861">
        <f>J90-'Corrected Internal_Parking B123'!AU95</f>
        <v>0</v>
      </c>
      <c r="Y90" s="861">
        <f>I90-'Corrected Internal_Parking B123'!AV95</f>
        <v>0</v>
      </c>
      <c r="Z90" s="861">
        <f>K90-'Corrected Internal_Parking B123'!AW95</f>
        <v>0</v>
      </c>
      <c r="AA90" s="862">
        <f>L90-'Corrected Internal_Parking B123'!AX95</f>
        <v>0</v>
      </c>
      <c r="AB90" s="861">
        <f>N90-'Corrected Internal_Parking B123'!AZ95</f>
        <v>0</v>
      </c>
      <c r="AC90" s="861">
        <f>Q90-'Corrected Internal_Parking B123'!BC95</f>
        <v>0</v>
      </c>
    </row>
    <row r="91" spans="1:29" ht="12.75" hidden="1" customHeight="1" x14ac:dyDescent="0.3">
      <c r="A91" s="863" t="str">
        <f t="shared" si="1"/>
        <v>2F-B3-12</v>
      </c>
      <c r="B91" s="864" t="str">
        <f>'Corrected Internal_Parking B123'!CA96</f>
        <v>SOLD</v>
      </c>
      <c r="C91" s="822" t="str">
        <f>'Corrected Internal_Parking B123'!C96</f>
        <v>Building 3</v>
      </c>
      <c r="D91" s="852" t="str">
        <f>'Corrected Internal_Parking B123'!E96</f>
        <v>2nd Floor</v>
      </c>
      <c r="E91" s="853" t="str">
        <f>'Corrected Internal_Parking B123'!F96</f>
        <v>2F-B3-12</v>
      </c>
      <c r="F91" s="854" t="str">
        <f>'Corrected Internal_Parking B123'!G96</f>
        <v>Single Slot</v>
      </c>
      <c r="G91" s="855">
        <f>'Corrected Internal_Parking B123'!H96</f>
        <v>13.5</v>
      </c>
      <c r="H91" s="856">
        <f>'Corrected Internal_Parking B123'!AT96</f>
        <v>755864.7890625</v>
      </c>
      <c r="I91" s="857">
        <f>'Corrected Internal_Parking B123'!AV96</f>
        <v>75586.478906250006</v>
      </c>
      <c r="J91" s="858">
        <f>'Corrected Internal_Parking B123'!AU96</f>
        <v>90703.774687500001</v>
      </c>
      <c r="K91" s="855">
        <f>'Corrected Internal_Parking B123'!AW96</f>
        <v>922155.04265624995</v>
      </c>
      <c r="L91" s="859">
        <f>'Corrected Internal_Parking B123'!AX96</f>
        <v>0.15</v>
      </c>
      <c r="M91" s="856">
        <f>'Corrected Internal_Parking B123'!AY96</f>
        <v>138323.25639843749</v>
      </c>
      <c r="N91" s="856">
        <f>'Corrected Internal_Parking B123'!AZ96</f>
        <v>10000</v>
      </c>
      <c r="O91" s="856">
        <f>'Corrected Internal_Parking B123'!BA96</f>
        <v>128323.25639843749</v>
      </c>
      <c r="P91" s="860">
        <f>'Corrected Internal_Parking B123'!BB96</f>
        <v>31</v>
      </c>
      <c r="Q91" s="856">
        <f>'Corrected Internal_Parking B123'!BC96</f>
        <v>4139.4598838205638</v>
      </c>
      <c r="R91" s="856">
        <f>'Corrected Internal_Parking B123'!BE96</f>
        <v>783831.7862578124</v>
      </c>
      <c r="S91" s="856">
        <f>'Corrected Internal_Parking B123'!BF96</f>
        <v>7045.3016908127875</v>
      </c>
      <c r="T91" s="856">
        <f>'Corrected Internal_Parking B123'!BG96</f>
        <v>9100.9516665612191</v>
      </c>
      <c r="U91" s="856">
        <f>'Corrected Internal_Parking B123'!BH96</f>
        <v>15520.808821927765</v>
      </c>
      <c r="W91" s="861">
        <f>H91-'Corrected Internal_Parking B123'!AT96</f>
        <v>0</v>
      </c>
      <c r="X91" s="861">
        <f>J91-'Corrected Internal_Parking B123'!AU96</f>
        <v>0</v>
      </c>
      <c r="Y91" s="861">
        <f>I91-'Corrected Internal_Parking B123'!AV96</f>
        <v>0</v>
      </c>
      <c r="Z91" s="861">
        <f>K91-'Corrected Internal_Parking B123'!AW96</f>
        <v>0</v>
      </c>
      <c r="AA91" s="862">
        <f>L91-'Corrected Internal_Parking B123'!AX96</f>
        <v>0</v>
      </c>
      <c r="AB91" s="861">
        <f>N91-'Corrected Internal_Parking B123'!AZ96</f>
        <v>0</v>
      </c>
      <c r="AC91" s="861">
        <f>Q91-'Corrected Internal_Parking B123'!BC96</f>
        <v>0</v>
      </c>
    </row>
    <row r="92" spans="1:29" ht="12.75" hidden="1" customHeight="1" x14ac:dyDescent="0.3">
      <c r="A92" s="863" t="str">
        <f t="shared" si="1"/>
        <v>2F-B3-13</v>
      </c>
      <c r="B92" s="864" t="str">
        <f>'Corrected Internal_Parking B123'!CA97</f>
        <v>SOLD</v>
      </c>
      <c r="C92" s="822" t="str">
        <f>'Corrected Internal_Parking B123'!C97</f>
        <v>Building 3</v>
      </c>
      <c r="D92" s="852" t="str">
        <f>'Corrected Internal_Parking B123'!E97</f>
        <v>2nd Floor</v>
      </c>
      <c r="E92" s="853" t="str">
        <f>'Corrected Internal_Parking B123'!F97</f>
        <v>2F-B3-13</v>
      </c>
      <c r="F92" s="854" t="str">
        <f>'Corrected Internal_Parking B123'!G97</f>
        <v>Single Slot</v>
      </c>
      <c r="G92" s="855">
        <f>'Corrected Internal_Parking B123'!H97</f>
        <v>13.5</v>
      </c>
      <c r="H92" s="856">
        <f>'Corrected Internal_Parking B123'!AT97</f>
        <v>755864.7890625</v>
      </c>
      <c r="I92" s="857">
        <f>'Corrected Internal_Parking B123'!AV97</f>
        <v>75586.478906250006</v>
      </c>
      <c r="J92" s="858">
        <f>'Corrected Internal_Parking B123'!AU97</f>
        <v>90703.774687500001</v>
      </c>
      <c r="K92" s="855">
        <f>'Corrected Internal_Parking B123'!AW97</f>
        <v>922155.04265624995</v>
      </c>
      <c r="L92" s="859">
        <f>'Corrected Internal_Parking B123'!AX97</f>
        <v>0.15</v>
      </c>
      <c r="M92" s="856">
        <f>'Corrected Internal_Parking B123'!AY97</f>
        <v>138323.25639843749</v>
      </c>
      <c r="N92" s="856">
        <f>'Corrected Internal_Parking B123'!AZ97</f>
        <v>10000</v>
      </c>
      <c r="O92" s="856">
        <f>'Corrected Internal_Parking B123'!BA97</f>
        <v>128323.25639843749</v>
      </c>
      <c r="P92" s="860">
        <f>'Corrected Internal_Parking B123'!BB97</f>
        <v>31</v>
      </c>
      <c r="Q92" s="856">
        <f>'Corrected Internal_Parking B123'!BC97</f>
        <v>4139.4598838205638</v>
      </c>
      <c r="R92" s="856">
        <f>'Corrected Internal_Parking B123'!BE97</f>
        <v>783831.7862578124</v>
      </c>
      <c r="S92" s="856">
        <f>'Corrected Internal_Parking B123'!BF97</f>
        <v>7045.3016908127875</v>
      </c>
      <c r="T92" s="856">
        <f>'Corrected Internal_Parking B123'!BG97</f>
        <v>9100.9516665612191</v>
      </c>
      <c r="U92" s="856">
        <f>'Corrected Internal_Parking B123'!BH97</f>
        <v>15520.808821927765</v>
      </c>
      <c r="W92" s="861">
        <f>H92-'Corrected Internal_Parking B123'!AT97</f>
        <v>0</v>
      </c>
      <c r="X92" s="861">
        <f>J92-'Corrected Internal_Parking B123'!AU97</f>
        <v>0</v>
      </c>
      <c r="Y92" s="861">
        <f>I92-'Corrected Internal_Parking B123'!AV97</f>
        <v>0</v>
      </c>
      <c r="Z92" s="861">
        <f>K92-'Corrected Internal_Parking B123'!AW97</f>
        <v>0</v>
      </c>
      <c r="AA92" s="862">
        <f>L92-'Corrected Internal_Parking B123'!AX97</f>
        <v>0</v>
      </c>
      <c r="AB92" s="861">
        <f>N92-'Corrected Internal_Parking B123'!AZ97</f>
        <v>0</v>
      </c>
      <c r="AC92" s="861">
        <f>Q92-'Corrected Internal_Parking B123'!BC97</f>
        <v>0</v>
      </c>
    </row>
    <row r="93" spans="1:29" hidden="1" x14ac:dyDescent="0.3">
      <c r="A93" s="863" t="str">
        <f t="shared" si="1"/>
        <v>2F-B3-14</v>
      </c>
      <c r="B93" s="864" t="str">
        <f>'Corrected Internal_Parking B123'!CA98</f>
        <v>SOLD</v>
      </c>
      <c r="C93" s="822" t="str">
        <f>'Corrected Internal_Parking B123'!C98</f>
        <v>Building 3</v>
      </c>
      <c r="D93" s="852" t="str">
        <f>'Corrected Internal_Parking B123'!E98</f>
        <v>2nd Floor</v>
      </c>
      <c r="E93" s="853" t="str">
        <f>'Corrected Internal_Parking B123'!F98</f>
        <v>2F-B3-14</v>
      </c>
      <c r="F93" s="854" t="str">
        <f>'Corrected Internal_Parking B123'!G98</f>
        <v>Single Slot</v>
      </c>
      <c r="G93" s="855">
        <f>'Corrected Internal_Parking B123'!H98</f>
        <v>13.5</v>
      </c>
      <c r="H93" s="856">
        <f>'Corrected Internal_Parking B123'!AT98</f>
        <v>755864.7890625</v>
      </c>
      <c r="I93" s="857">
        <f>'Corrected Internal_Parking B123'!AV98</f>
        <v>75586.478906250006</v>
      </c>
      <c r="J93" s="858">
        <f>'Corrected Internal_Parking B123'!AU98</f>
        <v>90703.774687500001</v>
      </c>
      <c r="K93" s="855">
        <f>'Corrected Internal_Parking B123'!AW98</f>
        <v>922155.04265624995</v>
      </c>
      <c r="L93" s="859">
        <f>'Corrected Internal_Parking B123'!AX98</f>
        <v>0.15</v>
      </c>
      <c r="M93" s="856">
        <f>'Corrected Internal_Parking B123'!AY98</f>
        <v>138323.25639843749</v>
      </c>
      <c r="N93" s="856">
        <f>'Corrected Internal_Parking B123'!AZ98</f>
        <v>10000</v>
      </c>
      <c r="O93" s="856">
        <f>'Corrected Internal_Parking B123'!BA98</f>
        <v>128323.25639843749</v>
      </c>
      <c r="P93" s="860">
        <f>'Corrected Internal_Parking B123'!BB98</f>
        <v>31</v>
      </c>
      <c r="Q93" s="856">
        <f>'Corrected Internal_Parking B123'!BC98</f>
        <v>4139.4598838205638</v>
      </c>
      <c r="R93" s="856">
        <f>'Corrected Internal_Parking B123'!BE98</f>
        <v>783831.7862578124</v>
      </c>
      <c r="S93" s="856">
        <f>'Corrected Internal_Parking B123'!BF98</f>
        <v>7045.3016908127875</v>
      </c>
      <c r="T93" s="856">
        <f>'Corrected Internal_Parking B123'!BG98</f>
        <v>9100.9516665612191</v>
      </c>
      <c r="U93" s="856">
        <f>'Corrected Internal_Parking B123'!BH98</f>
        <v>15520.808821927765</v>
      </c>
      <c r="W93" s="861">
        <f>H93-'Corrected Internal_Parking B123'!AT98</f>
        <v>0</v>
      </c>
      <c r="X93" s="861">
        <f>J93-'Corrected Internal_Parking B123'!AU98</f>
        <v>0</v>
      </c>
      <c r="Y93" s="861">
        <f>I93-'Corrected Internal_Parking B123'!AV98</f>
        <v>0</v>
      </c>
      <c r="Z93" s="861">
        <f>K93-'Corrected Internal_Parking B123'!AW98</f>
        <v>0</v>
      </c>
      <c r="AA93" s="862">
        <f>L93-'Corrected Internal_Parking B123'!AX98</f>
        <v>0</v>
      </c>
      <c r="AB93" s="861">
        <f>N93-'Corrected Internal_Parking B123'!AZ98</f>
        <v>0</v>
      </c>
      <c r="AC93" s="861">
        <f>Q93-'Corrected Internal_Parking B123'!BC98</f>
        <v>0</v>
      </c>
    </row>
    <row r="94" spans="1:29" hidden="1" x14ac:dyDescent="0.3">
      <c r="A94" s="863" t="str">
        <f t="shared" si="1"/>
        <v>2F-B3-15</v>
      </c>
      <c r="B94" s="864" t="str">
        <f>'Corrected Internal_Parking B123'!CA99</f>
        <v>SOLD</v>
      </c>
      <c r="C94" s="822" t="str">
        <f>'Corrected Internal_Parking B123'!C99</f>
        <v>Building 3</v>
      </c>
      <c r="D94" s="852" t="str">
        <f>'Corrected Internal_Parking B123'!E99</f>
        <v>2nd Floor</v>
      </c>
      <c r="E94" s="853" t="str">
        <f>'Corrected Internal_Parking B123'!F99</f>
        <v>2F-B3-15</v>
      </c>
      <c r="F94" s="854" t="str">
        <f>'Corrected Internal_Parking B123'!G99</f>
        <v>Single Slot</v>
      </c>
      <c r="G94" s="855">
        <f>'Corrected Internal_Parking B123'!H99</f>
        <v>13.5</v>
      </c>
      <c r="H94" s="856">
        <f>'Corrected Internal_Parking B123'!AT99</f>
        <v>755864.7890625</v>
      </c>
      <c r="I94" s="857">
        <f>'Corrected Internal_Parking B123'!AV99</f>
        <v>75586.478906250006</v>
      </c>
      <c r="J94" s="858">
        <f>'Corrected Internal_Parking B123'!AU99</f>
        <v>90703.774687500001</v>
      </c>
      <c r="K94" s="855">
        <f>'Corrected Internal_Parking B123'!AW99</f>
        <v>922155.04265624995</v>
      </c>
      <c r="L94" s="859">
        <f>'Corrected Internal_Parking B123'!AX99</f>
        <v>0.15</v>
      </c>
      <c r="M94" s="856">
        <f>'Corrected Internal_Parking B123'!AY99</f>
        <v>138323.25639843749</v>
      </c>
      <c r="N94" s="856">
        <f>'Corrected Internal_Parking B123'!AZ99</f>
        <v>10000</v>
      </c>
      <c r="O94" s="856">
        <f>'Corrected Internal_Parking B123'!BA99</f>
        <v>128323.25639843749</v>
      </c>
      <c r="P94" s="860">
        <f>'Corrected Internal_Parking B123'!BB99</f>
        <v>31</v>
      </c>
      <c r="Q94" s="856">
        <f>'Corrected Internal_Parking B123'!BC99</f>
        <v>4139.4598838205638</v>
      </c>
      <c r="R94" s="856">
        <f>'Corrected Internal_Parking B123'!BE99</f>
        <v>783831.7862578124</v>
      </c>
      <c r="S94" s="856">
        <f>'Corrected Internal_Parking B123'!BF99</f>
        <v>7045.3016908127875</v>
      </c>
      <c r="T94" s="856">
        <f>'Corrected Internal_Parking B123'!BG99</f>
        <v>9100.9516665612191</v>
      </c>
      <c r="U94" s="856">
        <f>'Corrected Internal_Parking B123'!BH99</f>
        <v>15520.808821927765</v>
      </c>
      <c r="W94" s="861">
        <f>H94-'Corrected Internal_Parking B123'!AT99</f>
        <v>0</v>
      </c>
      <c r="X94" s="861">
        <f>J94-'Corrected Internal_Parking B123'!AU99</f>
        <v>0</v>
      </c>
      <c r="Y94" s="861">
        <f>I94-'Corrected Internal_Parking B123'!AV99</f>
        <v>0</v>
      </c>
      <c r="Z94" s="861">
        <f>K94-'Corrected Internal_Parking B123'!AW99</f>
        <v>0</v>
      </c>
      <c r="AA94" s="862">
        <f>L94-'Corrected Internal_Parking B123'!AX99</f>
        <v>0</v>
      </c>
      <c r="AB94" s="861">
        <f>N94-'Corrected Internal_Parking B123'!AZ99</f>
        <v>0</v>
      </c>
      <c r="AC94" s="861">
        <f>Q94-'Corrected Internal_Parking B123'!BC99</f>
        <v>0</v>
      </c>
    </row>
    <row r="95" spans="1:29" ht="12.75" hidden="1" customHeight="1" x14ac:dyDescent="0.3">
      <c r="A95" s="863" t="str">
        <f t="shared" si="1"/>
        <v>2F-B3-16</v>
      </c>
      <c r="B95" s="864" t="str">
        <f>'Corrected Internal_Parking B123'!CA100</f>
        <v>SOLD</v>
      </c>
      <c r="C95" s="822" t="str">
        <f>'Corrected Internal_Parking B123'!C100</f>
        <v>Building 3</v>
      </c>
      <c r="D95" s="852" t="str">
        <f>'Corrected Internal_Parking B123'!E100</f>
        <v>2nd Floor</v>
      </c>
      <c r="E95" s="853" t="str">
        <f>'Corrected Internal_Parking B123'!F100</f>
        <v>2F-B3-16</v>
      </c>
      <c r="F95" s="854" t="str">
        <f>'Corrected Internal_Parking B123'!G100</f>
        <v>Single Slot</v>
      </c>
      <c r="G95" s="855">
        <f>'Corrected Internal_Parking B123'!H100</f>
        <v>13.5</v>
      </c>
      <c r="H95" s="856">
        <f>'Corrected Internal_Parking B123'!AT100</f>
        <v>755864.7890625</v>
      </c>
      <c r="I95" s="857">
        <f>'Corrected Internal_Parking B123'!AV100</f>
        <v>75586.478906250006</v>
      </c>
      <c r="J95" s="858">
        <f>'Corrected Internal_Parking B123'!AU100</f>
        <v>90703.774687500001</v>
      </c>
      <c r="K95" s="855">
        <f>'Corrected Internal_Parking B123'!AW100</f>
        <v>922155.04265624995</v>
      </c>
      <c r="L95" s="859">
        <f>'Corrected Internal_Parking B123'!AX100</f>
        <v>0.15</v>
      </c>
      <c r="M95" s="856">
        <f>'Corrected Internal_Parking B123'!AY100</f>
        <v>138323.25639843749</v>
      </c>
      <c r="N95" s="856">
        <f>'Corrected Internal_Parking B123'!AZ100</f>
        <v>10000</v>
      </c>
      <c r="O95" s="856">
        <f>'Corrected Internal_Parking B123'!BA100</f>
        <v>128323.25639843749</v>
      </c>
      <c r="P95" s="860">
        <f>'Corrected Internal_Parking B123'!BB100</f>
        <v>31</v>
      </c>
      <c r="Q95" s="856">
        <f>'Corrected Internal_Parking B123'!BC100</f>
        <v>4139.4598838205638</v>
      </c>
      <c r="R95" s="856">
        <f>'Corrected Internal_Parking B123'!BE100</f>
        <v>783831.7862578124</v>
      </c>
      <c r="S95" s="856">
        <f>'Corrected Internal_Parking B123'!BF100</f>
        <v>7045.3016908127875</v>
      </c>
      <c r="T95" s="856">
        <f>'Corrected Internal_Parking B123'!BG100</f>
        <v>9100.9516665612191</v>
      </c>
      <c r="U95" s="856">
        <f>'Corrected Internal_Parking B123'!BH100</f>
        <v>15520.808821927765</v>
      </c>
      <c r="W95" s="861">
        <f>H95-'Corrected Internal_Parking B123'!AT100</f>
        <v>0</v>
      </c>
      <c r="X95" s="861">
        <f>J95-'Corrected Internal_Parking B123'!AU100</f>
        <v>0</v>
      </c>
      <c r="Y95" s="861">
        <f>I95-'Corrected Internal_Parking B123'!AV100</f>
        <v>0</v>
      </c>
      <c r="Z95" s="861">
        <f>K95-'Corrected Internal_Parking B123'!AW100</f>
        <v>0</v>
      </c>
      <c r="AA95" s="862">
        <f>L95-'Corrected Internal_Parking B123'!AX100</f>
        <v>0</v>
      </c>
      <c r="AB95" s="861">
        <f>N95-'Corrected Internal_Parking B123'!AZ100</f>
        <v>0</v>
      </c>
      <c r="AC95" s="861">
        <f>Q95-'Corrected Internal_Parking B123'!BC100</f>
        <v>0</v>
      </c>
    </row>
    <row r="96" spans="1:29" ht="12.75" customHeight="1" x14ac:dyDescent="0.3">
      <c r="A96" s="863" t="str">
        <f t="shared" si="1"/>
        <v>2F-B3-17</v>
      </c>
      <c r="B96" s="864" t="str">
        <f>'Corrected Internal_Parking B123'!CA101</f>
        <v>UNSOLD</v>
      </c>
      <c r="C96" s="822" t="str">
        <f>'Corrected Internal_Parking B123'!C101</f>
        <v>Building 3</v>
      </c>
      <c r="D96" s="852" t="str">
        <f>'Corrected Internal_Parking B123'!E101</f>
        <v>2nd Floor</v>
      </c>
      <c r="E96" s="853" t="str">
        <f>'Corrected Internal_Parking B123'!F101</f>
        <v>2F-B3-17</v>
      </c>
      <c r="F96" s="854" t="str">
        <f>'Corrected Internal_Parking B123'!G101</f>
        <v>Single Slot</v>
      </c>
      <c r="G96" s="855">
        <f>'Corrected Internal_Parking B123'!H101</f>
        <v>13.5</v>
      </c>
      <c r="H96" s="856">
        <f>'Corrected Internal_Parking B123'!AT101</f>
        <v>757603.66522249999</v>
      </c>
      <c r="I96" s="857">
        <f>'Corrected Internal_Parking B123'!AV101</f>
        <v>75760.366522249999</v>
      </c>
      <c r="J96" s="858">
        <f>'Corrected Internal_Parking B123'!AU101</f>
        <v>90912.439826699992</v>
      </c>
      <c r="K96" s="855">
        <f>'Corrected Internal_Parking B123'!AW101</f>
        <v>924276.47157145001</v>
      </c>
      <c r="L96" s="859">
        <f>'Corrected Internal_Parking B123'!AX101</f>
        <v>0.15</v>
      </c>
      <c r="M96" s="856">
        <f>'Corrected Internal_Parking B123'!AY101</f>
        <v>138641.47073571751</v>
      </c>
      <c r="N96" s="856">
        <f>'Corrected Internal_Parking B123'!AZ101</f>
        <v>10000</v>
      </c>
      <c r="O96" s="856">
        <f>'Corrected Internal_Parking B123'!BA101</f>
        <v>128641.47073571751</v>
      </c>
      <c r="P96" s="860">
        <f>'Corrected Internal_Parking B123'!BB101</f>
        <v>31</v>
      </c>
      <c r="Q96" s="856">
        <f>'Corrected Internal_Parking B123'!BC101</f>
        <v>4149.7248624425001</v>
      </c>
      <c r="R96" s="856">
        <f>'Corrected Internal_Parking B123'!BE101</f>
        <v>785635.00083573244</v>
      </c>
      <c r="S96" s="856">
        <f>'Corrected Internal_Parking B123'!BF101</f>
        <v>7061.5094932232651</v>
      </c>
      <c r="T96" s="856">
        <f>'Corrected Internal_Parking B123'!BG101</f>
        <v>9121.8885167959343</v>
      </c>
      <c r="U96" s="856">
        <f>'Corrected Internal_Parking B123'!BH101</f>
        <v>15556.514631796012</v>
      </c>
      <c r="W96" s="861">
        <f>H96-'Corrected Internal_Parking B123'!AT101</f>
        <v>0</v>
      </c>
      <c r="X96" s="861">
        <f>J96-'Corrected Internal_Parking B123'!AU101</f>
        <v>0</v>
      </c>
      <c r="Y96" s="861">
        <f>I96-'Corrected Internal_Parking B123'!AV101</f>
        <v>0</v>
      </c>
      <c r="Z96" s="861">
        <f>K96-'Corrected Internal_Parking B123'!AW101</f>
        <v>0</v>
      </c>
      <c r="AA96" s="862">
        <f>L96-'Corrected Internal_Parking B123'!AX101</f>
        <v>0</v>
      </c>
      <c r="AB96" s="861">
        <f>N96-'Corrected Internal_Parking B123'!AZ101</f>
        <v>0</v>
      </c>
      <c r="AC96" s="861">
        <f>Q96-'Corrected Internal_Parking B123'!BC101</f>
        <v>0</v>
      </c>
    </row>
    <row r="97" spans="1:29" ht="12.75" hidden="1" customHeight="1" x14ac:dyDescent="0.3">
      <c r="A97" s="863" t="str">
        <f t="shared" si="1"/>
        <v>2F-B3-18</v>
      </c>
      <c r="B97" s="864" t="str">
        <f>'Corrected Internal_Parking B123'!CA102</f>
        <v>HOLD</v>
      </c>
      <c r="C97" s="822" t="str">
        <f>'Corrected Internal_Parking B123'!C102</f>
        <v>Building 3</v>
      </c>
      <c r="D97" s="852" t="str">
        <f>'Corrected Internal_Parking B123'!E102</f>
        <v>2nd Floor</v>
      </c>
      <c r="E97" s="853" t="str">
        <f>'Corrected Internal_Parking B123'!F102</f>
        <v>2F-B3-18</v>
      </c>
      <c r="F97" s="854" t="str">
        <f>'Corrected Internal_Parking B123'!G102</f>
        <v>Single Slot</v>
      </c>
      <c r="G97" s="855">
        <f>'Corrected Internal_Parking B123'!H102</f>
        <v>13.5</v>
      </c>
      <c r="H97" s="856">
        <f>'Corrected Internal_Parking B123'!AT102</f>
        <v>755864.7890625</v>
      </c>
      <c r="I97" s="857">
        <f>'Corrected Internal_Parking B123'!AV102</f>
        <v>75586.478906250006</v>
      </c>
      <c r="J97" s="858">
        <f>'Corrected Internal_Parking B123'!AU102</f>
        <v>90703.774687500001</v>
      </c>
      <c r="K97" s="855">
        <f>'Corrected Internal_Parking B123'!AW102</f>
        <v>922155.04265624995</v>
      </c>
      <c r="L97" s="859">
        <f>'Corrected Internal_Parking B123'!AX102</f>
        <v>0.15</v>
      </c>
      <c r="M97" s="856">
        <f>'Corrected Internal_Parking B123'!AY102</f>
        <v>138323.25639843749</v>
      </c>
      <c r="N97" s="856">
        <f>'Corrected Internal_Parking B123'!AZ102</f>
        <v>10000</v>
      </c>
      <c r="O97" s="856">
        <f>'Corrected Internal_Parking B123'!BA102</f>
        <v>128323.25639843749</v>
      </c>
      <c r="P97" s="860">
        <f>'Corrected Internal_Parking B123'!BB102</f>
        <v>31</v>
      </c>
      <c r="Q97" s="856">
        <f>'Corrected Internal_Parking B123'!BC102</f>
        <v>4139.4598838205638</v>
      </c>
      <c r="R97" s="856">
        <f>'Corrected Internal_Parking B123'!BE102</f>
        <v>783831.7862578124</v>
      </c>
      <c r="S97" s="856">
        <f>'Corrected Internal_Parking B123'!BF102</f>
        <v>7045.3016908127875</v>
      </c>
      <c r="T97" s="856">
        <f>'Corrected Internal_Parking B123'!BG102</f>
        <v>9100.9516665612191</v>
      </c>
      <c r="U97" s="856">
        <f>'Corrected Internal_Parking B123'!BH102</f>
        <v>15520.808821927765</v>
      </c>
      <c r="W97" s="861">
        <f>H97-'Corrected Internal_Parking B123'!AT102</f>
        <v>0</v>
      </c>
      <c r="X97" s="861">
        <f>J97-'Corrected Internal_Parking B123'!AU102</f>
        <v>0</v>
      </c>
      <c r="Y97" s="861">
        <f>I97-'Corrected Internal_Parking B123'!AV102</f>
        <v>0</v>
      </c>
      <c r="Z97" s="861">
        <f>K97-'Corrected Internal_Parking B123'!AW102</f>
        <v>0</v>
      </c>
      <c r="AA97" s="862">
        <f>L97-'Corrected Internal_Parking B123'!AX102</f>
        <v>0</v>
      </c>
      <c r="AB97" s="861">
        <f>N97-'Corrected Internal_Parking B123'!AZ102</f>
        <v>0</v>
      </c>
      <c r="AC97" s="861">
        <f>Q97-'Corrected Internal_Parking B123'!BC102</f>
        <v>0</v>
      </c>
    </row>
    <row r="98" spans="1:29" ht="12.75" hidden="1" customHeight="1" x14ac:dyDescent="0.3">
      <c r="A98" s="863" t="str">
        <f t="shared" si="1"/>
        <v>2F-B3-19</v>
      </c>
      <c r="B98" s="864" t="str">
        <f>'Corrected Internal_Parking B123'!CA103</f>
        <v>HOLD</v>
      </c>
      <c r="C98" s="822" t="str">
        <f>'Corrected Internal_Parking B123'!C103</f>
        <v>Building 3</v>
      </c>
      <c r="D98" s="852" t="str">
        <f>'Corrected Internal_Parking B123'!E103</f>
        <v>2nd Floor</v>
      </c>
      <c r="E98" s="853" t="str">
        <f>'Corrected Internal_Parking B123'!F103</f>
        <v>2F-B3-19</v>
      </c>
      <c r="F98" s="854" t="str">
        <f>'Corrected Internal_Parking B123'!G103</f>
        <v>Single Slot</v>
      </c>
      <c r="G98" s="855">
        <f>'Corrected Internal_Parking B123'!H103</f>
        <v>13.5</v>
      </c>
      <c r="H98" s="856">
        <f>'Corrected Internal_Parking B123'!AT103</f>
        <v>755864.7890625</v>
      </c>
      <c r="I98" s="857">
        <f>'Corrected Internal_Parking B123'!AV103</f>
        <v>75586.478906250006</v>
      </c>
      <c r="J98" s="858">
        <f>'Corrected Internal_Parking B123'!AU103</f>
        <v>90703.774687500001</v>
      </c>
      <c r="K98" s="855">
        <f>'Corrected Internal_Parking B123'!AW103</f>
        <v>922155.04265624995</v>
      </c>
      <c r="L98" s="859">
        <f>'Corrected Internal_Parking B123'!AX103</f>
        <v>0.15</v>
      </c>
      <c r="M98" s="856">
        <f>'Corrected Internal_Parking B123'!AY103</f>
        <v>138323.25639843749</v>
      </c>
      <c r="N98" s="856">
        <f>'Corrected Internal_Parking B123'!AZ103</f>
        <v>10000</v>
      </c>
      <c r="O98" s="856">
        <f>'Corrected Internal_Parking B123'!BA103</f>
        <v>128323.25639843749</v>
      </c>
      <c r="P98" s="860">
        <f>'Corrected Internal_Parking B123'!BB103</f>
        <v>31</v>
      </c>
      <c r="Q98" s="856">
        <f>'Corrected Internal_Parking B123'!BC103</f>
        <v>4139.4598838205638</v>
      </c>
      <c r="R98" s="856">
        <f>'Corrected Internal_Parking B123'!BE103</f>
        <v>783831.7862578124</v>
      </c>
      <c r="S98" s="856">
        <f>'Corrected Internal_Parking B123'!BF103</f>
        <v>7045.3016908127875</v>
      </c>
      <c r="T98" s="856">
        <f>'Corrected Internal_Parking B123'!BG103</f>
        <v>9100.9516665612191</v>
      </c>
      <c r="U98" s="856">
        <f>'Corrected Internal_Parking B123'!BH103</f>
        <v>15520.808821927765</v>
      </c>
      <c r="W98" s="861">
        <f>H98-'Corrected Internal_Parking B123'!AT103</f>
        <v>0</v>
      </c>
      <c r="X98" s="861">
        <f>J98-'Corrected Internal_Parking B123'!AU103</f>
        <v>0</v>
      </c>
      <c r="Y98" s="861">
        <f>I98-'Corrected Internal_Parking B123'!AV103</f>
        <v>0</v>
      </c>
      <c r="Z98" s="861">
        <f>K98-'Corrected Internal_Parking B123'!AW103</f>
        <v>0</v>
      </c>
      <c r="AA98" s="862">
        <f>L98-'Corrected Internal_Parking B123'!AX103</f>
        <v>0</v>
      </c>
      <c r="AB98" s="861">
        <f>N98-'Corrected Internal_Parking B123'!AZ103</f>
        <v>0</v>
      </c>
      <c r="AC98" s="861">
        <f>Q98-'Corrected Internal_Parking B123'!BC103</f>
        <v>0</v>
      </c>
    </row>
    <row r="99" spans="1:29" ht="12.75" hidden="1" customHeight="1" x14ac:dyDescent="0.3">
      <c r="A99" s="863" t="str">
        <f t="shared" si="1"/>
        <v>2F-B3-20</v>
      </c>
      <c r="B99" s="864" t="str">
        <f>'Corrected Internal_Parking B123'!CA104</f>
        <v>HOLD</v>
      </c>
      <c r="C99" s="822" t="str">
        <f>'Corrected Internal_Parking B123'!C104</f>
        <v>Building 3</v>
      </c>
      <c r="D99" s="852" t="str">
        <f>'Corrected Internal_Parking B123'!E104</f>
        <v>2nd Floor</v>
      </c>
      <c r="E99" s="853" t="str">
        <f>'Corrected Internal_Parking B123'!F104</f>
        <v>2F-B3-20</v>
      </c>
      <c r="F99" s="854" t="str">
        <f>'Corrected Internal_Parking B123'!G104</f>
        <v>Single Slot</v>
      </c>
      <c r="G99" s="855">
        <f>'Corrected Internal_Parking B123'!H104</f>
        <v>18.5</v>
      </c>
      <c r="H99" s="856">
        <f>'Corrected Internal_Parking B123'!AT104</f>
        <v>956136.65625</v>
      </c>
      <c r="I99" s="857">
        <f>'Corrected Internal_Parking B123'!AV104</f>
        <v>95613.665625000009</v>
      </c>
      <c r="J99" s="858">
        <f>'Corrected Internal_Parking B123'!AU104</f>
        <v>114736.39874999999</v>
      </c>
      <c r="K99" s="855">
        <f>'Corrected Internal_Parking B123'!AW104</f>
        <v>1166486.7206249998</v>
      </c>
      <c r="L99" s="859">
        <f>'Corrected Internal_Parking B123'!AX104</f>
        <v>0.15</v>
      </c>
      <c r="M99" s="856">
        <f>'Corrected Internal_Parking B123'!AY104</f>
        <v>174973.00809374996</v>
      </c>
      <c r="N99" s="856">
        <f>'Corrected Internal_Parking B123'!AZ104</f>
        <v>10000</v>
      </c>
      <c r="O99" s="856">
        <f>'Corrected Internal_Parking B123'!BA104</f>
        <v>164973.00809374996</v>
      </c>
      <c r="P99" s="860">
        <f>'Corrected Internal_Parking B123'!BB104</f>
        <v>31</v>
      </c>
      <c r="Q99" s="856">
        <f>'Corrected Internal_Parking B123'!BC104</f>
        <v>5321.7099385080628</v>
      </c>
      <c r="R99" s="856">
        <f>'Corrected Internal_Parking B123'!BE104</f>
        <v>991513.71253124985</v>
      </c>
      <c r="S99" s="856">
        <f>'Corrected Internal_Parking B123'!BF104</f>
        <v>8912.0055576093382</v>
      </c>
      <c r="T99" s="856">
        <f>'Corrected Internal_Parking B123'!BG104</f>
        <v>11512.314928641541</v>
      </c>
      <c r="U99" s="856">
        <f>'Corrected Internal_Parking B123'!BH104</f>
        <v>19633.159877310332</v>
      </c>
      <c r="W99" s="861">
        <f>H99-'Corrected Internal_Parking B123'!AT104</f>
        <v>0</v>
      </c>
      <c r="X99" s="861">
        <f>J99-'Corrected Internal_Parking B123'!AU104</f>
        <v>0</v>
      </c>
      <c r="Y99" s="861">
        <f>I99-'Corrected Internal_Parking B123'!AV104</f>
        <v>0</v>
      </c>
      <c r="Z99" s="861">
        <f>K99-'Corrected Internal_Parking B123'!AW104</f>
        <v>0</v>
      </c>
      <c r="AA99" s="862">
        <f>L99-'Corrected Internal_Parking B123'!AX104</f>
        <v>0</v>
      </c>
      <c r="AB99" s="861">
        <f>N99-'Corrected Internal_Parking B123'!AZ104</f>
        <v>0</v>
      </c>
      <c r="AC99" s="861">
        <f>Q99-'Corrected Internal_Parking B123'!BC104</f>
        <v>0</v>
      </c>
    </row>
    <row r="100" spans="1:29" hidden="1" x14ac:dyDescent="0.3">
      <c r="A100" s="863" t="str">
        <f t="shared" si="1"/>
        <v>2F-B3-21</v>
      </c>
      <c r="B100" s="864" t="str">
        <f>'Corrected Internal_Parking B123'!CA105</f>
        <v>SOLD</v>
      </c>
      <c r="C100" s="822" t="str">
        <f>'Corrected Internal_Parking B123'!C105</f>
        <v>Building 3</v>
      </c>
      <c r="D100" s="852" t="str">
        <f>'Corrected Internal_Parking B123'!E105</f>
        <v>2nd Floor</v>
      </c>
      <c r="E100" s="853" t="str">
        <f>'Corrected Internal_Parking B123'!F105</f>
        <v>2F-B3-21</v>
      </c>
      <c r="F100" s="854" t="str">
        <f>'Corrected Internal_Parking B123'!G105</f>
        <v>Single Slot</v>
      </c>
      <c r="G100" s="855">
        <f>'Corrected Internal_Parking B123'!H105</f>
        <v>13.5</v>
      </c>
      <c r="H100" s="856">
        <f>'Corrected Internal_Parking B123'!AT105</f>
        <v>755864.7890625</v>
      </c>
      <c r="I100" s="857">
        <f>'Corrected Internal_Parking B123'!AV105</f>
        <v>75586.478906250006</v>
      </c>
      <c r="J100" s="858">
        <f>'Corrected Internal_Parking B123'!AU105</f>
        <v>90703.774687500001</v>
      </c>
      <c r="K100" s="855">
        <f>'Corrected Internal_Parking B123'!AW105</f>
        <v>922155.04265624995</v>
      </c>
      <c r="L100" s="859">
        <f>'Corrected Internal_Parking B123'!AX105</f>
        <v>0.15</v>
      </c>
      <c r="M100" s="856">
        <f>'Corrected Internal_Parking B123'!AY105</f>
        <v>138323.25639843749</v>
      </c>
      <c r="N100" s="856">
        <f>'Corrected Internal_Parking B123'!AZ105</f>
        <v>10000</v>
      </c>
      <c r="O100" s="856">
        <f>'Corrected Internal_Parking B123'!BA105</f>
        <v>128323.25639843749</v>
      </c>
      <c r="P100" s="860">
        <f>'Corrected Internal_Parking B123'!BB105</f>
        <v>31</v>
      </c>
      <c r="Q100" s="856">
        <f>'Corrected Internal_Parking B123'!BC105</f>
        <v>4139.4598838205638</v>
      </c>
      <c r="R100" s="856">
        <f>'Corrected Internal_Parking B123'!BE105</f>
        <v>783831.7862578124</v>
      </c>
      <c r="S100" s="856">
        <f>'Corrected Internal_Parking B123'!BF105</f>
        <v>7045.3016908127875</v>
      </c>
      <c r="T100" s="856">
        <f>'Corrected Internal_Parking B123'!BG105</f>
        <v>9100.9516665612191</v>
      </c>
      <c r="U100" s="856">
        <f>'Corrected Internal_Parking B123'!BH105</f>
        <v>15520.808821927765</v>
      </c>
      <c r="W100" s="861">
        <f>H100-'Corrected Internal_Parking B123'!AT105</f>
        <v>0</v>
      </c>
      <c r="X100" s="861">
        <f>J100-'Corrected Internal_Parking B123'!AU105</f>
        <v>0</v>
      </c>
      <c r="Y100" s="861">
        <f>I100-'Corrected Internal_Parking B123'!AV105</f>
        <v>0</v>
      </c>
      <c r="Z100" s="861">
        <f>K100-'Corrected Internal_Parking B123'!AW105</f>
        <v>0</v>
      </c>
      <c r="AA100" s="862">
        <f>L100-'Corrected Internal_Parking B123'!AX105</f>
        <v>0</v>
      </c>
      <c r="AB100" s="861">
        <f>N100-'Corrected Internal_Parking B123'!AZ105</f>
        <v>0</v>
      </c>
      <c r="AC100" s="861">
        <f>Q100-'Corrected Internal_Parking B123'!BC105</f>
        <v>0</v>
      </c>
    </row>
    <row r="101" spans="1:29" ht="12.75" hidden="1" customHeight="1" x14ac:dyDescent="0.3">
      <c r="A101" s="863" t="str">
        <f t="shared" si="1"/>
        <v>2F-B3-22</v>
      </c>
      <c r="B101" s="864" t="str">
        <f>'Corrected Internal_Parking B123'!CA106</f>
        <v>SOLD</v>
      </c>
      <c r="C101" s="822" t="str">
        <f>'Corrected Internal_Parking B123'!C106</f>
        <v>Building 3</v>
      </c>
      <c r="D101" s="852" t="str">
        <f>'Corrected Internal_Parking B123'!E106</f>
        <v>2nd Floor</v>
      </c>
      <c r="E101" s="853" t="str">
        <f>'Corrected Internal_Parking B123'!F106</f>
        <v>2F-B3-22</v>
      </c>
      <c r="F101" s="854" t="str">
        <f>'Corrected Internal_Parking B123'!G106</f>
        <v>Single Slot</v>
      </c>
      <c r="G101" s="855">
        <f>'Corrected Internal_Parking B123'!H106</f>
        <v>13.5</v>
      </c>
      <c r="H101" s="856">
        <f>'Corrected Internal_Parking B123'!AT106</f>
        <v>755864.7890625</v>
      </c>
      <c r="I101" s="857">
        <f>'Corrected Internal_Parking B123'!AV106</f>
        <v>75586.478906250006</v>
      </c>
      <c r="J101" s="858">
        <f>'Corrected Internal_Parking B123'!AU106</f>
        <v>90703.774687500001</v>
      </c>
      <c r="K101" s="855">
        <f>'Corrected Internal_Parking B123'!AW106</f>
        <v>922155.04265624995</v>
      </c>
      <c r="L101" s="859">
        <f>'Corrected Internal_Parking B123'!AX106</f>
        <v>0.15</v>
      </c>
      <c r="M101" s="856">
        <f>'Corrected Internal_Parking B123'!AY106</f>
        <v>138323.25639843749</v>
      </c>
      <c r="N101" s="856">
        <f>'Corrected Internal_Parking B123'!AZ106</f>
        <v>10000</v>
      </c>
      <c r="O101" s="856">
        <f>'Corrected Internal_Parking B123'!BA106</f>
        <v>128323.25639843749</v>
      </c>
      <c r="P101" s="860">
        <f>'Corrected Internal_Parking B123'!BB106</f>
        <v>31</v>
      </c>
      <c r="Q101" s="856">
        <f>'Corrected Internal_Parking B123'!BC106</f>
        <v>4139.4598838205638</v>
      </c>
      <c r="R101" s="856">
        <f>'Corrected Internal_Parking B123'!BE106</f>
        <v>783831.7862578124</v>
      </c>
      <c r="S101" s="856">
        <f>'Corrected Internal_Parking B123'!BF106</f>
        <v>7045.3016908127875</v>
      </c>
      <c r="T101" s="856">
        <f>'Corrected Internal_Parking B123'!BG106</f>
        <v>9100.9516665612191</v>
      </c>
      <c r="U101" s="856">
        <f>'Corrected Internal_Parking B123'!BH106</f>
        <v>15520.808821927765</v>
      </c>
      <c r="W101" s="861">
        <f>H101-'Corrected Internal_Parking B123'!AT106</f>
        <v>0</v>
      </c>
      <c r="X101" s="861">
        <f>J101-'Corrected Internal_Parking B123'!AU106</f>
        <v>0</v>
      </c>
      <c r="Y101" s="861">
        <f>I101-'Corrected Internal_Parking B123'!AV106</f>
        <v>0</v>
      </c>
      <c r="Z101" s="861">
        <f>K101-'Corrected Internal_Parking B123'!AW106</f>
        <v>0</v>
      </c>
      <c r="AA101" s="862">
        <f>L101-'Corrected Internal_Parking B123'!AX106</f>
        <v>0</v>
      </c>
      <c r="AB101" s="861">
        <f>N101-'Corrected Internal_Parking B123'!AZ106</f>
        <v>0</v>
      </c>
      <c r="AC101" s="861">
        <f>Q101-'Corrected Internal_Parking B123'!BC106</f>
        <v>0</v>
      </c>
    </row>
    <row r="102" spans="1:29" ht="12.75" hidden="1" customHeight="1" x14ac:dyDescent="0.3">
      <c r="A102" s="863" t="str">
        <f t="shared" si="1"/>
        <v>2F-B3-23</v>
      </c>
      <c r="B102" s="864" t="str">
        <f>'Corrected Internal_Parking B123'!CA107</f>
        <v>SOLD</v>
      </c>
      <c r="C102" s="822" t="str">
        <f>'Corrected Internal_Parking B123'!C107</f>
        <v>Building 3</v>
      </c>
      <c r="D102" s="852" t="str">
        <f>'Corrected Internal_Parking B123'!E107</f>
        <v>2nd Floor</v>
      </c>
      <c r="E102" s="853" t="str">
        <f>'Corrected Internal_Parking B123'!F107</f>
        <v>2F-B3-23</v>
      </c>
      <c r="F102" s="854" t="str">
        <f>'Corrected Internal_Parking B123'!G107</f>
        <v>Single Slot</v>
      </c>
      <c r="G102" s="855">
        <f>'Corrected Internal_Parking B123'!H107</f>
        <v>12.5</v>
      </c>
      <c r="H102" s="856">
        <f>'Corrected Internal_Parking B123'!AT107</f>
        <v>699874.8046875</v>
      </c>
      <c r="I102" s="857">
        <f>'Corrected Internal_Parking B123'!AV107</f>
        <v>69987.48046875</v>
      </c>
      <c r="J102" s="858">
        <f>'Corrected Internal_Parking B123'!AU107</f>
        <v>83984.9765625</v>
      </c>
      <c r="K102" s="855">
        <f>'Corrected Internal_Parking B123'!AW107</f>
        <v>853847.26171875</v>
      </c>
      <c r="L102" s="859">
        <f>'Corrected Internal_Parking B123'!AX107</f>
        <v>0.15</v>
      </c>
      <c r="M102" s="856">
        <f>'Corrected Internal_Parking B123'!AY107</f>
        <v>128077.08925781249</v>
      </c>
      <c r="N102" s="856">
        <f>'Corrected Internal_Parking B123'!AZ107</f>
        <v>10000</v>
      </c>
      <c r="O102" s="856">
        <f>'Corrected Internal_Parking B123'!BA107</f>
        <v>118077.08925781249</v>
      </c>
      <c r="P102" s="860">
        <f>'Corrected Internal_Parking B123'!BB107</f>
        <v>31</v>
      </c>
      <c r="Q102" s="856">
        <f>'Corrected Internal_Parking B123'!BC107</f>
        <v>3808.9383631552419</v>
      </c>
      <c r="R102" s="856">
        <f>'Corrected Internal_Parking B123'!BE107</f>
        <v>725770.17246093752</v>
      </c>
      <c r="S102" s="856">
        <f>'Corrected Internal_Parking B123'!BF107</f>
        <v>6523.427491493323</v>
      </c>
      <c r="T102" s="856">
        <f>'Corrected Internal_Parking B123'!BG107</f>
        <v>8426.8070986677958</v>
      </c>
      <c r="U102" s="856">
        <f>'Corrected Internal_Parking B123'!BH107</f>
        <v>14371.119279562748</v>
      </c>
      <c r="W102" s="861">
        <f>H102-'Corrected Internal_Parking B123'!AT107</f>
        <v>0</v>
      </c>
      <c r="X102" s="861">
        <f>J102-'Corrected Internal_Parking B123'!AU107</f>
        <v>0</v>
      </c>
      <c r="Y102" s="861">
        <f>I102-'Corrected Internal_Parking B123'!AV107</f>
        <v>0</v>
      </c>
      <c r="Z102" s="861">
        <f>K102-'Corrected Internal_Parking B123'!AW107</f>
        <v>0</v>
      </c>
      <c r="AA102" s="862">
        <f>L102-'Corrected Internal_Parking B123'!AX107</f>
        <v>0</v>
      </c>
      <c r="AB102" s="861">
        <f>N102-'Corrected Internal_Parking B123'!AZ107</f>
        <v>0</v>
      </c>
      <c r="AC102" s="861">
        <f>Q102-'Corrected Internal_Parking B123'!BC107</f>
        <v>0</v>
      </c>
    </row>
    <row r="103" spans="1:29" ht="12.75" hidden="1" customHeight="1" x14ac:dyDescent="0.3">
      <c r="A103" s="863" t="str">
        <f t="shared" si="1"/>
        <v>2F-B3-24</v>
      </c>
      <c r="B103" s="864" t="str">
        <f>'Corrected Internal_Parking B123'!CA108</f>
        <v>SOLD</v>
      </c>
      <c r="C103" s="822" t="str">
        <f>'Corrected Internal_Parking B123'!C108</f>
        <v>Building 3</v>
      </c>
      <c r="D103" s="852" t="str">
        <f>'Corrected Internal_Parking B123'!E108</f>
        <v>2nd Floor</v>
      </c>
      <c r="E103" s="853" t="str">
        <f>'Corrected Internal_Parking B123'!F108</f>
        <v>2F-B3-24</v>
      </c>
      <c r="F103" s="854" t="str">
        <f>'Corrected Internal_Parking B123'!G108</f>
        <v>Single Slot</v>
      </c>
      <c r="G103" s="855">
        <f>'Corrected Internal_Parking B123'!H108</f>
        <v>13.5</v>
      </c>
      <c r="H103" s="856">
        <f>'Corrected Internal_Parking B123'!AT108</f>
        <v>755864.7890625</v>
      </c>
      <c r="I103" s="857">
        <f>'Corrected Internal_Parking B123'!AV108</f>
        <v>75586.478906250006</v>
      </c>
      <c r="J103" s="858">
        <f>'Corrected Internal_Parking B123'!AU108</f>
        <v>90703.774687500001</v>
      </c>
      <c r="K103" s="855">
        <f>'Corrected Internal_Parking B123'!AW108</f>
        <v>922155.04265624995</v>
      </c>
      <c r="L103" s="859">
        <f>'Corrected Internal_Parking B123'!AX108</f>
        <v>0.15</v>
      </c>
      <c r="M103" s="856">
        <f>'Corrected Internal_Parking B123'!AY108</f>
        <v>138323.25639843749</v>
      </c>
      <c r="N103" s="856">
        <f>'Corrected Internal_Parking B123'!AZ108</f>
        <v>10000</v>
      </c>
      <c r="O103" s="856">
        <f>'Corrected Internal_Parking B123'!BA108</f>
        <v>128323.25639843749</v>
      </c>
      <c r="P103" s="860">
        <f>'Corrected Internal_Parking B123'!BB108</f>
        <v>31</v>
      </c>
      <c r="Q103" s="856">
        <f>'Corrected Internal_Parking B123'!BC108</f>
        <v>4139.4598838205638</v>
      </c>
      <c r="R103" s="856">
        <f>'Corrected Internal_Parking B123'!BE108</f>
        <v>783831.7862578124</v>
      </c>
      <c r="S103" s="856">
        <f>'Corrected Internal_Parking B123'!BF108</f>
        <v>7045.3016908127875</v>
      </c>
      <c r="T103" s="856">
        <f>'Corrected Internal_Parking B123'!BG108</f>
        <v>9100.9516665612191</v>
      </c>
      <c r="U103" s="856">
        <f>'Corrected Internal_Parking B123'!BH108</f>
        <v>15520.808821927765</v>
      </c>
      <c r="W103" s="861">
        <f>H103-'Corrected Internal_Parking B123'!AT108</f>
        <v>0</v>
      </c>
      <c r="X103" s="861">
        <f>J103-'Corrected Internal_Parking B123'!AU108</f>
        <v>0</v>
      </c>
      <c r="Y103" s="861">
        <f>I103-'Corrected Internal_Parking B123'!AV108</f>
        <v>0</v>
      </c>
      <c r="Z103" s="861">
        <f>K103-'Corrected Internal_Parking B123'!AW108</f>
        <v>0</v>
      </c>
      <c r="AA103" s="862">
        <f>L103-'Corrected Internal_Parking B123'!AX108</f>
        <v>0</v>
      </c>
      <c r="AB103" s="861">
        <f>N103-'Corrected Internal_Parking B123'!AZ108</f>
        <v>0</v>
      </c>
      <c r="AC103" s="861">
        <f>Q103-'Corrected Internal_Parking B123'!BC108</f>
        <v>0</v>
      </c>
    </row>
    <row r="104" spans="1:29" ht="12.75" hidden="1" customHeight="1" x14ac:dyDescent="0.3">
      <c r="A104" s="863" t="str">
        <f t="shared" si="1"/>
        <v>2F-B3-25</v>
      </c>
      <c r="B104" s="864" t="str">
        <f>'Corrected Internal_Parking B123'!CA109</f>
        <v>NOT YET OPEN</v>
      </c>
      <c r="C104" s="822" t="str">
        <f>'Corrected Internal_Parking B123'!C109</f>
        <v>Building 3</v>
      </c>
      <c r="D104" s="852" t="str">
        <f>'Corrected Internal_Parking B123'!E109</f>
        <v>2nd Floor</v>
      </c>
      <c r="E104" s="853" t="str">
        <f>'Corrected Internal_Parking B123'!F109</f>
        <v>2F-B3-25</v>
      </c>
      <c r="F104" s="854" t="str">
        <f>'Corrected Internal_Parking B123'!G109</f>
        <v>Single Slot</v>
      </c>
      <c r="G104" s="855">
        <f>'Corrected Internal_Parking B123'!H109</f>
        <v>13.5</v>
      </c>
      <c r="H104" s="856">
        <f>'Corrected Internal_Parking B123'!AT109</f>
        <v>755864.7890625</v>
      </c>
      <c r="I104" s="857">
        <f>'Corrected Internal_Parking B123'!AV109</f>
        <v>75586.478906250006</v>
      </c>
      <c r="J104" s="858">
        <f>'Corrected Internal_Parking B123'!AU109</f>
        <v>90703.774687500001</v>
      </c>
      <c r="K104" s="855">
        <f>'Corrected Internal_Parking B123'!AW109</f>
        <v>922155.04265624995</v>
      </c>
      <c r="L104" s="859">
        <f>'Corrected Internal_Parking B123'!AX109</f>
        <v>0.15</v>
      </c>
      <c r="M104" s="856">
        <f>'Corrected Internal_Parking B123'!AY109</f>
        <v>138323.25639843749</v>
      </c>
      <c r="N104" s="856">
        <f>'Corrected Internal_Parking B123'!AZ109</f>
        <v>10000</v>
      </c>
      <c r="O104" s="856">
        <f>'Corrected Internal_Parking B123'!BA109</f>
        <v>128323.25639843749</v>
      </c>
      <c r="P104" s="860">
        <f>'Corrected Internal_Parking B123'!BB109</f>
        <v>31</v>
      </c>
      <c r="Q104" s="856">
        <f>'Corrected Internal_Parking B123'!BC109</f>
        <v>4139.4598838205638</v>
      </c>
      <c r="R104" s="856">
        <f>'Corrected Internal_Parking B123'!BE109</f>
        <v>783831.7862578124</v>
      </c>
      <c r="S104" s="856">
        <f>'Corrected Internal_Parking B123'!BF109</f>
        <v>7045.3016908127875</v>
      </c>
      <c r="T104" s="856">
        <f>'Corrected Internal_Parking B123'!BG109</f>
        <v>9100.9516665612191</v>
      </c>
      <c r="U104" s="856">
        <f>'Corrected Internal_Parking B123'!BH109</f>
        <v>15520.808821927765</v>
      </c>
      <c r="W104" s="861">
        <f>H104-'Corrected Internal_Parking B123'!AT109</f>
        <v>0</v>
      </c>
      <c r="X104" s="861">
        <f>J104-'Corrected Internal_Parking B123'!AU109</f>
        <v>0</v>
      </c>
      <c r="Y104" s="861">
        <f>I104-'Corrected Internal_Parking B123'!AV109</f>
        <v>0</v>
      </c>
      <c r="Z104" s="861">
        <f>K104-'Corrected Internal_Parking B123'!AW109</f>
        <v>0</v>
      </c>
      <c r="AA104" s="862">
        <f>L104-'Corrected Internal_Parking B123'!AX109</f>
        <v>0</v>
      </c>
      <c r="AB104" s="861">
        <f>N104-'Corrected Internal_Parking B123'!AZ109</f>
        <v>0</v>
      </c>
      <c r="AC104" s="861">
        <f>Q104-'Corrected Internal_Parking B123'!BC109</f>
        <v>0</v>
      </c>
    </row>
    <row r="105" spans="1:29" ht="12.75" hidden="1" customHeight="1" x14ac:dyDescent="0.3">
      <c r="A105" s="863" t="str">
        <f t="shared" si="1"/>
        <v>2F-B3-26</v>
      </c>
      <c r="B105" s="864" t="str">
        <f>'Corrected Internal_Parking B123'!CA110</f>
        <v>SOLD</v>
      </c>
      <c r="C105" s="822" t="str">
        <f>'Corrected Internal_Parking B123'!C110</f>
        <v>Building 3</v>
      </c>
      <c r="D105" s="852" t="str">
        <f>'Corrected Internal_Parking B123'!E110</f>
        <v>2nd Floor</v>
      </c>
      <c r="E105" s="853" t="str">
        <f>'Corrected Internal_Parking B123'!F110</f>
        <v>2F-B3-26</v>
      </c>
      <c r="F105" s="854" t="str">
        <f>'Corrected Internal_Parking B123'!G110</f>
        <v>Single Slot</v>
      </c>
      <c r="G105" s="855">
        <f>'Corrected Internal_Parking B123'!H110</f>
        <v>13.5</v>
      </c>
      <c r="H105" s="856">
        <f>'Corrected Internal_Parking B123'!AT110</f>
        <v>755864.7890625</v>
      </c>
      <c r="I105" s="857">
        <f>'Corrected Internal_Parking B123'!AV110</f>
        <v>75586.478906250006</v>
      </c>
      <c r="J105" s="858">
        <f>'Corrected Internal_Parking B123'!AU110</f>
        <v>90703.774687500001</v>
      </c>
      <c r="K105" s="855">
        <f>'Corrected Internal_Parking B123'!AW110</f>
        <v>922155.04265624995</v>
      </c>
      <c r="L105" s="859">
        <f>'Corrected Internal_Parking B123'!AX110</f>
        <v>0.15</v>
      </c>
      <c r="M105" s="856">
        <f>'Corrected Internal_Parking B123'!AY110</f>
        <v>138323.25639843749</v>
      </c>
      <c r="N105" s="856">
        <f>'Corrected Internal_Parking B123'!AZ110</f>
        <v>10000</v>
      </c>
      <c r="O105" s="856">
        <f>'Corrected Internal_Parking B123'!BA110</f>
        <v>128323.25639843749</v>
      </c>
      <c r="P105" s="860">
        <f>'Corrected Internal_Parking B123'!BB110</f>
        <v>31</v>
      </c>
      <c r="Q105" s="856">
        <f>'Corrected Internal_Parking B123'!BC110</f>
        <v>4139.4598838205638</v>
      </c>
      <c r="R105" s="856">
        <f>'Corrected Internal_Parking B123'!BE110</f>
        <v>783831.7862578124</v>
      </c>
      <c r="S105" s="856">
        <f>'Corrected Internal_Parking B123'!BF110</f>
        <v>7045.3016908127875</v>
      </c>
      <c r="T105" s="856">
        <f>'Corrected Internal_Parking B123'!BG110</f>
        <v>9100.9516665612191</v>
      </c>
      <c r="U105" s="856">
        <f>'Corrected Internal_Parking B123'!BH110</f>
        <v>15520.808821927765</v>
      </c>
      <c r="W105" s="861">
        <f>H105-'Corrected Internal_Parking B123'!AT110</f>
        <v>0</v>
      </c>
      <c r="X105" s="861">
        <f>J105-'Corrected Internal_Parking B123'!AU110</f>
        <v>0</v>
      </c>
      <c r="Y105" s="861">
        <f>I105-'Corrected Internal_Parking B123'!AV110</f>
        <v>0</v>
      </c>
      <c r="Z105" s="861">
        <f>K105-'Corrected Internal_Parking B123'!AW110</f>
        <v>0</v>
      </c>
      <c r="AA105" s="862">
        <f>L105-'Corrected Internal_Parking B123'!AX110</f>
        <v>0</v>
      </c>
      <c r="AB105" s="861">
        <f>N105-'Corrected Internal_Parking B123'!AZ110</f>
        <v>0</v>
      </c>
      <c r="AC105" s="861">
        <f>Q105-'Corrected Internal_Parking B123'!BC110</f>
        <v>0</v>
      </c>
    </row>
    <row r="106" spans="1:29" hidden="1" x14ac:dyDescent="0.3">
      <c r="A106" s="863" t="str">
        <f t="shared" si="1"/>
        <v>2F-B3-27</v>
      </c>
      <c r="B106" s="864" t="str">
        <f>'Corrected Internal_Parking B123'!CA111</f>
        <v>SOLD</v>
      </c>
      <c r="C106" s="822" t="str">
        <f>'Corrected Internal_Parking B123'!C111</f>
        <v>Building 3</v>
      </c>
      <c r="D106" s="852" t="str">
        <f>'Corrected Internal_Parking B123'!E111</f>
        <v>2nd Floor</v>
      </c>
      <c r="E106" s="853" t="str">
        <f>'Corrected Internal_Parking B123'!F111</f>
        <v>2F-B3-27</v>
      </c>
      <c r="F106" s="854" t="str">
        <f>'Corrected Internal_Parking B123'!G111</f>
        <v>Single Slot</v>
      </c>
      <c r="G106" s="855">
        <f>'Corrected Internal_Parking B123'!H111</f>
        <v>13.5</v>
      </c>
      <c r="H106" s="856">
        <f>'Corrected Internal_Parking B123'!AT111</f>
        <v>755864.7890625</v>
      </c>
      <c r="I106" s="857">
        <f>'Corrected Internal_Parking B123'!AV111</f>
        <v>75586.478906250006</v>
      </c>
      <c r="J106" s="858">
        <f>'Corrected Internal_Parking B123'!AU111</f>
        <v>90703.774687500001</v>
      </c>
      <c r="K106" s="855">
        <f>'Corrected Internal_Parking B123'!AW111</f>
        <v>922155.04265624995</v>
      </c>
      <c r="L106" s="859">
        <f>'Corrected Internal_Parking B123'!AX111</f>
        <v>0.15</v>
      </c>
      <c r="M106" s="856">
        <f>'Corrected Internal_Parking B123'!AY111</f>
        <v>138323.25639843749</v>
      </c>
      <c r="N106" s="856">
        <f>'Corrected Internal_Parking B123'!AZ111</f>
        <v>10000</v>
      </c>
      <c r="O106" s="856">
        <f>'Corrected Internal_Parking B123'!BA111</f>
        <v>128323.25639843749</v>
      </c>
      <c r="P106" s="860">
        <f>'Corrected Internal_Parking B123'!BB111</f>
        <v>31</v>
      </c>
      <c r="Q106" s="856">
        <f>'Corrected Internal_Parking B123'!BC111</f>
        <v>4139.4598838205638</v>
      </c>
      <c r="R106" s="856">
        <f>'Corrected Internal_Parking B123'!BE111</f>
        <v>783831.7862578124</v>
      </c>
      <c r="S106" s="856">
        <f>'Corrected Internal_Parking B123'!BF111</f>
        <v>7045.3016908127875</v>
      </c>
      <c r="T106" s="856">
        <f>'Corrected Internal_Parking B123'!BG111</f>
        <v>9100.9516665612191</v>
      </c>
      <c r="U106" s="856">
        <f>'Corrected Internal_Parking B123'!BH111</f>
        <v>15520.808821927765</v>
      </c>
      <c r="W106" s="861">
        <f>H106-'Corrected Internal_Parking B123'!AT111</f>
        <v>0</v>
      </c>
      <c r="X106" s="861">
        <f>J106-'Corrected Internal_Parking B123'!AU111</f>
        <v>0</v>
      </c>
      <c r="Y106" s="861">
        <f>I106-'Corrected Internal_Parking B123'!AV111</f>
        <v>0</v>
      </c>
      <c r="Z106" s="861">
        <f>K106-'Corrected Internal_Parking B123'!AW111</f>
        <v>0</v>
      </c>
      <c r="AA106" s="862">
        <f>L106-'Corrected Internal_Parking B123'!AX111</f>
        <v>0</v>
      </c>
      <c r="AB106" s="861">
        <f>N106-'Corrected Internal_Parking B123'!AZ111</f>
        <v>0</v>
      </c>
      <c r="AC106" s="861">
        <f>Q106-'Corrected Internal_Parking B123'!BC111</f>
        <v>0</v>
      </c>
    </row>
    <row r="107" spans="1:29" ht="12.75" hidden="1" customHeight="1" x14ac:dyDescent="0.3">
      <c r="A107" s="863" t="str">
        <f t="shared" si="1"/>
        <v>2F-B3-28</v>
      </c>
      <c r="B107" s="864" t="str">
        <f>'Corrected Internal_Parking B123'!CA112</f>
        <v>SOLD</v>
      </c>
      <c r="C107" s="822" t="str">
        <f>'Corrected Internal_Parking B123'!C112</f>
        <v>Building 3</v>
      </c>
      <c r="D107" s="852" t="str">
        <f>'Corrected Internal_Parking B123'!E112</f>
        <v>2nd Floor</v>
      </c>
      <c r="E107" s="853" t="str">
        <f>'Corrected Internal_Parking B123'!F112</f>
        <v>2F-B3-28</v>
      </c>
      <c r="F107" s="854" t="str">
        <f>'Corrected Internal_Parking B123'!G112</f>
        <v>Single Slot</v>
      </c>
      <c r="G107" s="855">
        <f>'Corrected Internal_Parking B123'!H112</f>
        <v>13.5</v>
      </c>
      <c r="H107" s="856">
        <f>'Corrected Internal_Parking B123'!AT112</f>
        <v>755864.7890625</v>
      </c>
      <c r="I107" s="857">
        <f>'Corrected Internal_Parking B123'!AV112</f>
        <v>75586.478906250006</v>
      </c>
      <c r="J107" s="858">
        <f>'Corrected Internal_Parking B123'!AU112</f>
        <v>90703.774687500001</v>
      </c>
      <c r="K107" s="855">
        <f>'Corrected Internal_Parking B123'!AW112</f>
        <v>922155.04265624995</v>
      </c>
      <c r="L107" s="859">
        <f>'Corrected Internal_Parking B123'!AX112</f>
        <v>0.15</v>
      </c>
      <c r="M107" s="856">
        <f>'Corrected Internal_Parking B123'!AY112</f>
        <v>138323.25639843749</v>
      </c>
      <c r="N107" s="856">
        <f>'Corrected Internal_Parking B123'!AZ112</f>
        <v>10000</v>
      </c>
      <c r="O107" s="856">
        <f>'Corrected Internal_Parking B123'!BA112</f>
        <v>128323.25639843749</v>
      </c>
      <c r="P107" s="860">
        <f>'Corrected Internal_Parking B123'!BB112</f>
        <v>31</v>
      </c>
      <c r="Q107" s="856">
        <f>'Corrected Internal_Parking B123'!BC112</f>
        <v>4139.4598838205638</v>
      </c>
      <c r="R107" s="856">
        <f>'Corrected Internal_Parking B123'!BE112</f>
        <v>783831.7862578124</v>
      </c>
      <c r="S107" s="856">
        <f>'Corrected Internal_Parking B123'!BF112</f>
        <v>7045.3016908127875</v>
      </c>
      <c r="T107" s="856">
        <f>'Corrected Internal_Parking B123'!BG112</f>
        <v>9100.9516665612191</v>
      </c>
      <c r="U107" s="856">
        <f>'Corrected Internal_Parking B123'!BH112</f>
        <v>15520.808821927765</v>
      </c>
      <c r="W107" s="861">
        <f>H107-'Corrected Internal_Parking B123'!AT112</f>
        <v>0</v>
      </c>
      <c r="X107" s="861">
        <f>J107-'Corrected Internal_Parking B123'!AU112</f>
        <v>0</v>
      </c>
      <c r="Y107" s="861">
        <f>I107-'Corrected Internal_Parking B123'!AV112</f>
        <v>0</v>
      </c>
      <c r="Z107" s="861">
        <f>K107-'Corrected Internal_Parking B123'!AW112</f>
        <v>0</v>
      </c>
      <c r="AA107" s="862">
        <f>L107-'Corrected Internal_Parking B123'!AX112</f>
        <v>0</v>
      </c>
      <c r="AB107" s="861">
        <f>N107-'Corrected Internal_Parking B123'!AZ112</f>
        <v>0</v>
      </c>
      <c r="AC107" s="861">
        <f>Q107-'Corrected Internal_Parking B123'!BC112</f>
        <v>0</v>
      </c>
    </row>
    <row r="108" spans="1:29" ht="12.75" hidden="1" customHeight="1" x14ac:dyDescent="0.3">
      <c r="A108" s="863" t="str">
        <f t="shared" si="1"/>
        <v>2F-B3-29</v>
      </c>
      <c r="B108" s="864" t="str">
        <f>'Corrected Internal_Parking B123'!CA113</f>
        <v>SOLD</v>
      </c>
      <c r="C108" s="822" t="str">
        <f>'Corrected Internal_Parking B123'!C113</f>
        <v>Building 3</v>
      </c>
      <c r="D108" s="852" t="str">
        <f>'Corrected Internal_Parking B123'!E113</f>
        <v>2nd Floor</v>
      </c>
      <c r="E108" s="853" t="str">
        <f>'Corrected Internal_Parking B123'!F113</f>
        <v>2F-B3-29</v>
      </c>
      <c r="F108" s="854" t="str">
        <f>'Corrected Internal_Parking B123'!G113</f>
        <v>Single Slot</v>
      </c>
      <c r="G108" s="855">
        <f>'Corrected Internal_Parking B123'!H113</f>
        <v>13.5</v>
      </c>
      <c r="H108" s="856">
        <f>'Corrected Internal_Parking B123'!AT113</f>
        <v>766632.09375</v>
      </c>
      <c r="I108" s="857">
        <f>'Corrected Internal_Parking B123'!AV113</f>
        <v>76663.209375000006</v>
      </c>
      <c r="J108" s="858">
        <f>'Corrected Internal_Parking B123'!AU113</f>
        <v>91995.851249999992</v>
      </c>
      <c r="K108" s="855">
        <f>'Corrected Internal_Parking B123'!AW113</f>
        <v>935291.15437499993</v>
      </c>
      <c r="L108" s="859">
        <f>'Corrected Internal_Parking B123'!AX113</f>
        <v>0.15</v>
      </c>
      <c r="M108" s="856">
        <f>'Corrected Internal_Parking B123'!AY113</f>
        <v>140293.67315624998</v>
      </c>
      <c r="N108" s="856">
        <f>'Corrected Internal_Parking B123'!AZ113</f>
        <v>10000</v>
      </c>
      <c r="O108" s="856">
        <f>'Corrected Internal_Parking B123'!BA113</f>
        <v>130293.67315624998</v>
      </c>
      <c r="P108" s="860">
        <f>'Corrected Internal_Parking B123'!BB113</f>
        <v>31</v>
      </c>
      <c r="Q108" s="856">
        <f>'Corrected Internal_Parking B123'!BC113</f>
        <v>4203.0217147177409</v>
      </c>
      <c r="R108" s="856">
        <f>'Corrected Internal_Parking B123'!BE113</f>
        <v>794997.48121874989</v>
      </c>
      <c r="S108" s="856">
        <f>'Corrected Internal_Parking B123'!BF113</f>
        <v>7145.6621137588381</v>
      </c>
      <c r="T108" s="856">
        <f>'Corrected Internal_Parking B123'!BG113</f>
        <v>9230.5948526945685</v>
      </c>
      <c r="U108" s="856">
        <f>'Corrected Internal_Parking B123'!BH113</f>
        <v>15741.902964690269</v>
      </c>
      <c r="W108" s="861">
        <f>H108-'Corrected Internal_Parking B123'!AT113</f>
        <v>0</v>
      </c>
      <c r="X108" s="861">
        <f>J108-'Corrected Internal_Parking B123'!AU113</f>
        <v>0</v>
      </c>
      <c r="Y108" s="861">
        <f>I108-'Corrected Internal_Parking B123'!AV113</f>
        <v>0</v>
      </c>
      <c r="Z108" s="861">
        <f>K108-'Corrected Internal_Parking B123'!AW113</f>
        <v>0</v>
      </c>
      <c r="AA108" s="862">
        <f>L108-'Corrected Internal_Parking B123'!AX113</f>
        <v>0</v>
      </c>
      <c r="AB108" s="861">
        <f>N108-'Corrected Internal_Parking B123'!AZ113</f>
        <v>0</v>
      </c>
      <c r="AC108" s="861">
        <f>Q108-'Corrected Internal_Parking B123'!BC113</f>
        <v>0</v>
      </c>
    </row>
    <row r="109" spans="1:29" ht="12.75" customHeight="1" x14ac:dyDescent="0.3">
      <c r="A109" s="711"/>
      <c r="B109" s="711"/>
    </row>
    <row r="110" spans="1:29" ht="12.75" customHeight="1" x14ac:dyDescent="0.3">
      <c r="A110" s="711"/>
      <c r="B110" s="711"/>
      <c r="D110" s="710"/>
    </row>
    <row r="111" spans="1:29" x14ac:dyDescent="0.3">
      <c r="A111" s="711"/>
      <c r="B111" s="711"/>
      <c r="D111" s="710"/>
    </row>
    <row r="112" spans="1:29" ht="12.75" customHeight="1" x14ac:dyDescent="0.3">
      <c r="A112" s="711"/>
      <c r="B112" s="711"/>
      <c r="D112" s="710"/>
    </row>
    <row r="113" spans="1:21" ht="12.75" customHeight="1" x14ac:dyDescent="0.3">
      <c r="A113" s="711"/>
      <c r="B113" s="711"/>
      <c r="D113" s="710"/>
    </row>
    <row r="114" spans="1:21" ht="12.75" customHeight="1" x14ac:dyDescent="0.3">
      <c r="A114" s="711"/>
      <c r="B114" s="711"/>
      <c r="D114" s="710"/>
    </row>
    <row r="115" spans="1:21" ht="12.75" customHeight="1" x14ac:dyDescent="0.3">
      <c r="A115" s="711"/>
      <c r="B115" s="711"/>
      <c r="D115" s="710"/>
    </row>
    <row r="116" spans="1:21" ht="12.75" customHeight="1" x14ac:dyDescent="0.3">
      <c r="A116" s="711"/>
      <c r="B116" s="711"/>
      <c r="D116" s="710"/>
    </row>
    <row r="117" spans="1:21" ht="12.75" customHeight="1" x14ac:dyDescent="0.3">
      <c r="A117" s="711"/>
      <c r="B117" s="711"/>
      <c r="D117" s="710"/>
    </row>
    <row r="118" spans="1:21" ht="12.75" customHeight="1" x14ac:dyDescent="0.3">
      <c r="A118" s="711"/>
      <c r="B118" s="711"/>
      <c r="D118" s="710"/>
    </row>
    <row r="119" spans="1:21" ht="12.75" hidden="1" customHeight="1" x14ac:dyDescent="0.3">
      <c r="A119" s="711">
        <v>1</v>
      </c>
      <c r="B119" s="711">
        <f>A119+1</f>
        <v>2</v>
      </c>
      <c r="C119" s="711">
        <f t="shared" ref="C119:U119" si="2">B119+1</f>
        <v>3</v>
      </c>
      <c r="D119" s="711">
        <f t="shared" si="2"/>
        <v>4</v>
      </c>
      <c r="E119" s="711">
        <f t="shared" si="2"/>
        <v>5</v>
      </c>
      <c r="F119" s="711">
        <f t="shared" si="2"/>
        <v>6</v>
      </c>
      <c r="G119" s="711">
        <f t="shared" si="2"/>
        <v>7</v>
      </c>
      <c r="H119" s="711">
        <f t="shared" si="2"/>
        <v>8</v>
      </c>
      <c r="I119" s="711">
        <f t="shared" si="2"/>
        <v>9</v>
      </c>
      <c r="J119" s="711">
        <f t="shared" si="2"/>
        <v>10</v>
      </c>
      <c r="K119" s="711">
        <f t="shared" si="2"/>
        <v>11</v>
      </c>
      <c r="L119" s="711">
        <f t="shared" si="2"/>
        <v>12</v>
      </c>
      <c r="M119" s="711">
        <f t="shared" si="2"/>
        <v>13</v>
      </c>
      <c r="N119" s="711">
        <f t="shared" si="2"/>
        <v>14</v>
      </c>
      <c r="O119" s="711">
        <f t="shared" si="2"/>
        <v>15</v>
      </c>
      <c r="P119" s="711">
        <f t="shared" si="2"/>
        <v>16</v>
      </c>
      <c r="Q119" s="711">
        <f t="shared" si="2"/>
        <v>17</v>
      </c>
      <c r="R119" s="711">
        <f t="shared" si="2"/>
        <v>18</v>
      </c>
      <c r="S119" s="711">
        <f t="shared" si="2"/>
        <v>19</v>
      </c>
      <c r="T119" s="711">
        <f t="shared" si="2"/>
        <v>20</v>
      </c>
      <c r="U119" s="711">
        <f t="shared" si="2"/>
        <v>21</v>
      </c>
    </row>
    <row r="120" spans="1:21" ht="12.75" customHeight="1" x14ac:dyDescent="0.3">
      <c r="A120" s="711"/>
      <c r="B120" s="711"/>
      <c r="D120" s="710"/>
    </row>
    <row r="121" spans="1:21" x14ac:dyDescent="0.3">
      <c r="A121" s="711"/>
      <c r="B121" s="711"/>
      <c r="D121" s="710"/>
    </row>
    <row r="122" spans="1:21" ht="12.75" customHeight="1" x14ac:dyDescent="0.3">
      <c r="A122" s="711"/>
      <c r="B122" s="711"/>
      <c r="D122" s="710"/>
    </row>
    <row r="123" spans="1:21" ht="12.75" customHeight="1" x14ac:dyDescent="0.3">
      <c r="A123" s="711"/>
      <c r="B123" s="711"/>
      <c r="D123" s="710"/>
    </row>
    <row r="124" spans="1:21" x14ac:dyDescent="0.3">
      <c r="A124" s="711"/>
      <c r="B124" s="711"/>
      <c r="D124" s="710"/>
    </row>
    <row r="125" spans="1:21" ht="12.75" customHeight="1" x14ac:dyDescent="0.3">
      <c r="A125" s="711"/>
      <c r="B125" s="711"/>
      <c r="D125" s="710"/>
    </row>
    <row r="126" spans="1:21" ht="12.75" customHeight="1" x14ac:dyDescent="0.3">
      <c r="A126" s="711"/>
      <c r="B126" s="711"/>
      <c r="D126" s="710"/>
    </row>
    <row r="127" spans="1:21" ht="12.75" customHeight="1" x14ac:dyDescent="0.3">
      <c r="A127" s="711"/>
      <c r="B127" s="711"/>
      <c r="D127" s="710"/>
    </row>
    <row r="128" spans="1:21" ht="12.75" customHeight="1" x14ac:dyDescent="0.3">
      <c r="A128" s="711"/>
      <c r="B128" s="711"/>
      <c r="D128" s="710"/>
    </row>
    <row r="129" spans="1:4" ht="12.75" customHeight="1" x14ac:dyDescent="0.3">
      <c r="A129" s="711"/>
      <c r="B129" s="711"/>
      <c r="D129" s="710"/>
    </row>
    <row r="130" spans="1:4" x14ac:dyDescent="0.3">
      <c r="A130" s="711"/>
      <c r="B130" s="711"/>
      <c r="D130" s="710"/>
    </row>
    <row r="131" spans="1:4" ht="12.75" customHeight="1" x14ac:dyDescent="0.3">
      <c r="A131" s="711"/>
      <c r="B131" s="711"/>
      <c r="D131" s="710"/>
    </row>
    <row r="132" spans="1:4" ht="12.75" customHeight="1" x14ac:dyDescent="0.3">
      <c r="A132" s="711"/>
      <c r="B132" s="711"/>
      <c r="D132" s="710"/>
    </row>
    <row r="133" spans="1:4" ht="12.75" customHeight="1" x14ac:dyDescent="0.3">
      <c r="A133" s="711"/>
      <c r="B133" s="711"/>
      <c r="D133" s="710"/>
    </row>
    <row r="134" spans="1:4" ht="12.75" customHeight="1" x14ac:dyDescent="0.3">
      <c r="A134" s="711"/>
      <c r="B134" s="711"/>
      <c r="D134" s="710"/>
    </row>
    <row r="135" spans="1:4" ht="12.75" customHeight="1" x14ac:dyDescent="0.3">
      <c r="A135" s="711"/>
      <c r="B135" s="711"/>
      <c r="D135" s="710"/>
    </row>
    <row r="136" spans="1:4" ht="12.75" customHeight="1" x14ac:dyDescent="0.3">
      <c r="A136" s="711"/>
      <c r="B136" s="711"/>
      <c r="D136" s="710"/>
    </row>
    <row r="137" spans="1:4" ht="12.75" customHeight="1" x14ac:dyDescent="0.3">
      <c r="A137" s="711"/>
      <c r="B137" s="711"/>
      <c r="D137" s="710"/>
    </row>
    <row r="138" spans="1:4" ht="12.75" customHeight="1" x14ac:dyDescent="0.3">
      <c r="A138" s="711"/>
      <c r="B138" s="711"/>
      <c r="D138" s="710"/>
    </row>
    <row r="139" spans="1:4" ht="12.75" customHeight="1" x14ac:dyDescent="0.3">
      <c r="A139" s="711"/>
      <c r="B139" s="711"/>
      <c r="D139" s="710"/>
    </row>
    <row r="140" spans="1:4" ht="12.75" customHeight="1" x14ac:dyDescent="0.3">
      <c r="A140" s="711"/>
      <c r="B140" s="711"/>
      <c r="D140" s="710"/>
    </row>
    <row r="141" spans="1:4" x14ac:dyDescent="0.3">
      <c r="A141" s="711"/>
      <c r="B141" s="711"/>
      <c r="D141" s="710"/>
    </row>
    <row r="142" spans="1:4" ht="12.75" customHeight="1" x14ac:dyDescent="0.3">
      <c r="A142" s="711"/>
      <c r="B142" s="711"/>
      <c r="D142" s="710"/>
    </row>
    <row r="143" spans="1:4" ht="12.75" customHeight="1" x14ac:dyDescent="0.3">
      <c r="A143" s="711"/>
      <c r="B143" s="711"/>
      <c r="D143" s="710"/>
    </row>
    <row r="144" spans="1:4" ht="12.75" customHeight="1" x14ac:dyDescent="0.3">
      <c r="A144" s="711"/>
      <c r="B144" s="711"/>
      <c r="D144" s="710"/>
    </row>
    <row r="145" spans="1:4" ht="12.75" customHeight="1" x14ac:dyDescent="0.3">
      <c r="A145" s="711"/>
      <c r="B145" s="711"/>
      <c r="D145" s="710"/>
    </row>
    <row r="146" spans="1:4" x14ac:dyDescent="0.3">
      <c r="A146" s="711"/>
      <c r="B146" s="711"/>
      <c r="D146" s="710"/>
    </row>
    <row r="147" spans="1:4" ht="12.75" customHeight="1" x14ac:dyDescent="0.3">
      <c r="A147" s="711"/>
      <c r="B147" s="711"/>
      <c r="D147" s="710"/>
    </row>
    <row r="148" spans="1:4" x14ac:dyDescent="0.3">
      <c r="A148" s="711"/>
      <c r="B148" s="711"/>
      <c r="D148" s="710"/>
    </row>
    <row r="149" spans="1:4" ht="12.75" customHeight="1" x14ac:dyDescent="0.3">
      <c r="A149" s="711"/>
      <c r="B149" s="711"/>
      <c r="D149" s="710"/>
    </row>
    <row r="150" spans="1:4" ht="12.75" customHeight="1" x14ac:dyDescent="0.3">
      <c r="A150" s="711"/>
      <c r="B150" s="711"/>
      <c r="D150" s="710"/>
    </row>
    <row r="151" spans="1:4" ht="12.75" customHeight="1" x14ac:dyDescent="0.3">
      <c r="A151" s="711"/>
      <c r="B151" s="711"/>
      <c r="D151" s="710"/>
    </row>
    <row r="152" spans="1:4" ht="12.75" customHeight="1" x14ac:dyDescent="0.3">
      <c r="A152" s="711"/>
      <c r="B152" s="711"/>
      <c r="D152" s="710"/>
    </row>
    <row r="153" spans="1:4" ht="12.75" customHeight="1" x14ac:dyDescent="0.3">
      <c r="A153" s="711"/>
      <c r="B153" s="711"/>
      <c r="D153" s="710"/>
    </row>
    <row r="154" spans="1:4" ht="12.75" customHeight="1" x14ac:dyDescent="0.3">
      <c r="A154" s="711"/>
      <c r="B154" s="711"/>
      <c r="D154" s="710"/>
    </row>
    <row r="155" spans="1:4" ht="12.75" customHeight="1" x14ac:dyDescent="0.3">
      <c r="A155" s="711"/>
      <c r="B155" s="711"/>
      <c r="D155" s="710"/>
    </row>
    <row r="156" spans="1:4" ht="12.75" customHeight="1" x14ac:dyDescent="0.3">
      <c r="A156" s="711"/>
      <c r="B156" s="711"/>
      <c r="D156" s="710"/>
    </row>
    <row r="157" spans="1:4" x14ac:dyDescent="0.3">
      <c r="A157" s="711"/>
      <c r="B157" s="711"/>
      <c r="D157" s="710"/>
    </row>
    <row r="158" spans="1:4" ht="12.75" customHeight="1" x14ac:dyDescent="0.3">
      <c r="A158" s="711"/>
      <c r="B158" s="711"/>
      <c r="D158" s="710"/>
    </row>
    <row r="159" spans="1:4" ht="12.75" customHeight="1" x14ac:dyDescent="0.3">
      <c r="A159" s="711"/>
      <c r="B159" s="711"/>
      <c r="D159" s="710"/>
    </row>
    <row r="160" spans="1:4" x14ac:dyDescent="0.3">
      <c r="A160" s="711"/>
      <c r="B160" s="711"/>
      <c r="D160" s="710"/>
    </row>
    <row r="161" spans="1:4" ht="12.75" customHeight="1" x14ac:dyDescent="0.3">
      <c r="A161" s="711"/>
      <c r="B161" s="711"/>
      <c r="D161" s="710"/>
    </row>
    <row r="162" spans="1:4" ht="12.75" customHeight="1" x14ac:dyDescent="0.3">
      <c r="A162" s="711"/>
      <c r="B162" s="711"/>
      <c r="D162" s="710"/>
    </row>
    <row r="163" spans="1:4" ht="12.75" customHeight="1" x14ac:dyDescent="0.3">
      <c r="A163" s="711"/>
      <c r="B163" s="711"/>
      <c r="D163" s="710"/>
    </row>
    <row r="164" spans="1:4" ht="12.75" customHeight="1" x14ac:dyDescent="0.3">
      <c r="A164" s="711"/>
      <c r="B164" s="711"/>
      <c r="D164" s="710"/>
    </row>
    <row r="165" spans="1:4" ht="12.75" customHeight="1" x14ac:dyDescent="0.3">
      <c r="A165" s="711"/>
      <c r="B165" s="711"/>
      <c r="D165" s="710"/>
    </row>
    <row r="166" spans="1:4" x14ac:dyDescent="0.3">
      <c r="A166" s="711"/>
      <c r="B166" s="711"/>
      <c r="D166" s="710"/>
    </row>
    <row r="167" spans="1:4" ht="12.75" customHeight="1" x14ac:dyDescent="0.3">
      <c r="A167" s="711"/>
      <c r="B167" s="711"/>
      <c r="D167" s="710"/>
    </row>
    <row r="168" spans="1:4" ht="12.75" customHeight="1" x14ac:dyDescent="0.3">
      <c r="A168" s="711"/>
      <c r="B168" s="711"/>
      <c r="D168" s="710"/>
    </row>
    <row r="169" spans="1:4" x14ac:dyDescent="0.3">
      <c r="A169" s="711"/>
      <c r="B169" s="711"/>
      <c r="D169" s="710"/>
    </row>
    <row r="170" spans="1:4" ht="12.75" customHeight="1" x14ac:dyDescent="0.3">
      <c r="A170" s="711"/>
      <c r="B170" s="711"/>
      <c r="D170" s="710"/>
    </row>
    <row r="171" spans="1:4" ht="12.75" customHeight="1" x14ac:dyDescent="0.3">
      <c r="A171" s="711"/>
      <c r="B171" s="711"/>
      <c r="D171" s="710"/>
    </row>
    <row r="172" spans="1:4" ht="12.75" customHeight="1" x14ac:dyDescent="0.3"/>
    <row r="174" spans="1:4" ht="12.75" customHeight="1" x14ac:dyDescent="0.3"/>
    <row r="176" spans="1:4" ht="12.75" customHeight="1" x14ac:dyDescent="0.3"/>
    <row r="177" ht="12.75" customHeight="1" x14ac:dyDescent="0.3"/>
    <row r="178" ht="12.75" customHeight="1" x14ac:dyDescent="0.3"/>
    <row r="179" ht="12.75" customHeight="1" x14ac:dyDescent="0.3"/>
    <row r="180" ht="12.75" customHeight="1" x14ac:dyDescent="0.3"/>
    <row r="181" ht="12.75" customHeight="1" x14ac:dyDescent="0.3"/>
    <row r="182" ht="12.75" customHeight="1" x14ac:dyDescent="0.3"/>
    <row r="183" ht="12.75" customHeight="1" x14ac:dyDescent="0.3"/>
    <row r="184" ht="12.75" customHeight="1" x14ac:dyDescent="0.3"/>
    <row r="185" ht="12.75" customHeight="1" x14ac:dyDescent="0.3"/>
    <row r="186" ht="12.75" customHeight="1" x14ac:dyDescent="0.3"/>
    <row r="188" ht="12.75" customHeight="1" x14ac:dyDescent="0.3"/>
    <row r="189" ht="12.75" customHeight="1" x14ac:dyDescent="0.3"/>
    <row r="190" ht="12.75" customHeight="1" x14ac:dyDescent="0.3"/>
    <row r="191" ht="12.75" customHeight="1" x14ac:dyDescent="0.3"/>
    <row r="192" ht="12.75" customHeight="1" x14ac:dyDescent="0.3"/>
    <row r="193" ht="12.75" customHeight="1" x14ac:dyDescent="0.3"/>
    <row r="194" ht="12.75" customHeight="1" x14ac:dyDescent="0.3"/>
    <row r="195" ht="12.75" customHeight="1" x14ac:dyDescent="0.3"/>
    <row r="196" ht="12.75" customHeight="1" x14ac:dyDescent="0.3"/>
    <row r="197" ht="12.75" customHeight="1" x14ac:dyDescent="0.3"/>
    <row r="198" ht="12.75" customHeight="1" x14ac:dyDescent="0.3"/>
    <row r="199" ht="12.75" customHeight="1" x14ac:dyDescent="0.3"/>
    <row r="201" ht="12.75" customHeight="1" x14ac:dyDescent="0.3"/>
    <row r="204" ht="12.75" customHeight="1" x14ac:dyDescent="0.3"/>
    <row r="205" ht="12.75" customHeight="1" x14ac:dyDescent="0.3"/>
    <row r="206" ht="12.75" customHeight="1" x14ac:dyDescent="0.3"/>
    <row r="207" ht="12.75" customHeight="1" x14ac:dyDescent="0.3"/>
    <row r="208" ht="12.75" customHeight="1" x14ac:dyDescent="0.3"/>
    <row r="209" ht="12.75" customHeight="1" x14ac:dyDescent="0.3"/>
    <row r="210" ht="12.75" customHeight="1" x14ac:dyDescent="0.3"/>
    <row r="212" ht="12.75" customHeight="1" x14ac:dyDescent="0.3"/>
    <row r="213" ht="12.75" customHeight="1" x14ac:dyDescent="0.3"/>
    <row r="214" ht="12.75" customHeight="1" x14ac:dyDescent="0.3"/>
    <row r="215" ht="12.75" customHeight="1" x14ac:dyDescent="0.3"/>
    <row r="216" ht="12.75" customHeight="1" x14ac:dyDescent="0.3"/>
    <row r="217" ht="12.75" customHeight="1" x14ac:dyDescent="0.3"/>
    <row r="218" ht="12.75" customHeight="1" x14ac:dyDescent="0.3"/>
    <row r="219" ht="12.75" customHeight="1" x14ac:dyDescent="0.3"/>
    <row r="220" ht="12.75" customHeight="1" x14ac:dyDescent="0.3"/>
    <row r="221" ht="12.75" customHeight="1" x14ac:dyDescent="0.3"/>
    <row r="222" ht="12.75" customHeight="1" x14ac:dyDescent="0.3"/>
    <row r="223" ht="12.75" customHeight="1" x14ac:dyDescent="0.3"/>
    <row r="224" ht="12.75" customHeight="1" x14ac:dyDescent="0.3"/>
    <row r="225" ht="12.75" customHeight="1" x14ac:dyDescent="0.3"/>
    <row r="226" ht="12.75" customHeight="1" x14ac:dyDescent="0.3"/>
    <row r="228" ht="12.75" customHeight="1" x14ac:dyDescent="0.3"/>
    <row r="230" ht="12.75" customHeight="1" x14ac:dyDescent="0.3"/>
    <row r="231" ht="12.75" customHeight="1" x14ac:dyDescent="0.3"/>
    <row r="233" ht="12.75" customHeight="1" x14ac:dyDescent="0.3"/>
    <row r="235" ht="12.75" customHeight="1" x14ac:dyDescent="0.3"/>
    <row r="236" ht="12.75" customHeight="1" x14ac:dyDescent="0.3"/>
    <row r="237" ht="12.75" customHeight="1" x14ac:dyDescent="0.3"/>
    <row r="239" ht="12.75" customHeight="1" x14ac:dyDescent="0.3"/>
    <row r="240" ht="12.75" customHeight="1" x14ac:dyDescent="0.3"/>
  </sheetData>
  <sheetProtection password="CC2E" sheet="1" objects="1" scenarios="1"/>
  <autoFilter ref="A6:AC108" xr:uid="{AFA41944-8EF1-43A6-BB48-3C94FAF8098A}">
    <filterColumn colId="1">
      <filters>
        <filter val="UNSOLD"/>
      </filters>
    </filterColumn>
  </autoFilter>
  <mergeCells count="1">
    <mergeCell ref="A5:B5"/>
  </mergeCells>
  <pageMargins left="0.70866141732283472" right="0.70866141732283472" top="0.74803149606299213" bottom="0.74803149606299213" header="0.31496062992125984" footer="0.31496062992125984"/>
  <pageSetup paperSize="5" scale="6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3"/>
  </sheetPr>
  <dimension ref="A1:AH62"/>
  <sheetViews>
    <sheetView showGridLines="0" showZeros="0" topLeftCell="D10" zoomScale="60" zoomScaleNormal="60" workbookViewId="0">
      <selection activeCell="I26" sqref="I26:L26"/>
    </sheetView>
  </sheetViews>
  <sheetFormatPr defaultColWidth="8.1796875" defaultRowHeight="0" customHeight="1" zeroHeight="1" x14ac:dyDescent="0.35"/>
  <cols>
    <col min="1" max="3" width="0" style="11" hidden="1" customWidth="1"/>
    <col min="4" max="6" width="8.1796875" style="11"/>
    <col min="7" max="7" width="15.1796875" style="11" customWidth="1"/>
    <col min="8" max="8" width="8.1796875" style="11"/>
    <col min="9" max="12" width="13.453125" style="11" customWidth="1"/>
    <col min="13" max="13" width="5.1796875" style="11" customWidth="1"/>
    <col min="14" max="14" width="5.453125" style="11" customWidth="1"/>
    <col min="15" max="18" width="8.1796875" style="11"/>
    <col min="19" max="19" width="17.453125" style="11" customWidth="1"/>
    <col min="20" max="20" width="29.81640625" style="11" customWidth="1"/>
    <col min="21" max="21" width="31.81640625" style="11" customWidth="1"/>
    <col min="22" max="23" width="16.81640625" style="11" customWidth="1"/>
    <col min="24" max="24" width="2.54296875" style="11" customWidth="1"/>
    <col min="25" max="25" width="6.453125" style="11" customWidth="1"/>
    <col min="26" max="26" width="8.1796875" style="11"/>
    <col min="27" max="28" width="20.81640625" style="11" hidden="1" customWidth="1"/>
    <col min="29" max="31" width="0" style="11" hidden="1" customWidth="1"/>
    <col min="32" max="16384" width="8.1796875" style="11"/>
  </cols>
  <sheetData>
    <row r="1" spans="1:28" ht="17.25" hidden="1" customHeight="1" x14ac:dyDescent="0.35"/>
    <row r="2" spans="1:28" ht="21" hidden="1" customHeight="1" x14ac:dyDescent="0.35"/>
    <row r="3" spans="1:28" ht="18.75" hidden="1" customHeight="1" x14ac:dyDescent="0.35"/>
    <row r="4" spans="1:28" ht="41.25" hidden="1" customHeight="1" x14ac:dyDescent="0.35">
      <c r="A4" s="6"/>
    </row>
    <row r="5" spans="1:28" ht="20.25" hidden="1" customHeight="1" x14ac:dyDescent="0.35">
      <c r="A5" s="6"/>
    </row>
    <row r="6" spans="1:28" ht="17.5" hidden="1" x14ac:dyDescent="0.35">
      <c r="A6" s="6"/>
    </row>
    <row r="7" spans="1:28" ht="17.5" hidden="1" x14ac:dyDescent="0.35">
      <c r="A7" s="6"/>
    </row>
    <row r="8" spans="1:28" ht="17.5" hidden="1" x14ac:dyDescent="0.35">
      <c r="A8" s="6"/>
    </row>
    <row r="9" spans="1:28" ht="31.5" hidden="1" customHeight="1" x14ac:dyDescent="0.35">
      <c r="A9" s="6"/>
    </row>
    <row r="10" spans="1:28" ht="13.5" customHeight="1" x14ac:dyDescent="0.35">
      <c r="A10" s="6"/>
    </row>
    <row r="11" spans="1:28" ht="19.5" customHeight="1" x14ac:dyDescent="0.35">
      <c r="A11" s="6"/>
      <c r="D11" s="1136" t="s">
        <v>6</v>
      </c>
      <c r="E11" s="1136"/>
      <c r="F11" s="1136"/>
      <c r="G11" s="1136"/>
      <c r="H11" s="1137" t="s">
        <v>5</v>
      </c>
      <c r="I11" s="1124" t="s">
        <v>309</v>
      </c>
      <c r="J11" s="1125"/>
      <c r="K11" s="1125"/>
      <c r="L11" s="1126"/>
      <c r="M11" s="12"/>
      <c r="AA11" s="11" t="s">
        <v>270</v>
      </c>
      <c r="AB11" s="552" t="s">
        <v>273</v>
      </c>
    </row>
    <row r="12" spans="1:28" ht="17.25" customHeight="1" x14ac:dyDescent="0.35">
      <c r="A12" s="6"/>
      <c r="D12" s="1136"/>
      <c r="E12" s="1136"/>
      <c r="F12" s="1136"/>
      <c r="G12" s="1136"/>
      <c r="H12" s="1137"/>
      <c r="I12" s="1127"/>
      <c r="J12" s="1128"/>
      <c r="K12" s="1128"/>
      <c r="L12" s="1129"/>
      <c r="M12" s="12"/>
      <c r="AA12" s="11" t="s">
        <v>271</v>
      </c>
      <c r="AB12" s="553" t="s">
        <v>274</v>
      </c>
    </row>
    <row r="13" spans="1:28" ht="16.5" customHeight="1" x14ac:dyDescent="0.35">
      <c r="A13" s="6"/>
      <c r="D13" s="31"/>
      <c r="E13" s="31"/>
      <c r="F13" s="20"/>
      <c r="G13" s="20"/>
      <c r="H13" s="31"/>
      <c r="I13" s="20"/>
      <c r="J13" s="20"/>
      <c r="K13" s="31"/>
      <c r="L13" s="20"/>
      <c r="M13" s="12"/>
      <c r="AA13" s="11" t="s">
        <v>272</v>
      </c>
      <c r="AB13" s="553" t="s">
        <v>275</v>
      </c>
    </row>
    <row r="14" spans="1:28" ht="36.75" customHeight="1" x14ac:dyDescent="0.35">
      <c r="A14" s="6"/>
      <c r="D14" s="1138" t="s">
        <v>315</v>
      </c>
      <c r="E14" s="1138"/>
      <c r="F14" s="1138"/>
      <c r="G14" s="1138"/>
      <c r="H14" s="31" t="s">
        <v>5</v>
      </c>
      <c r="I14" s="1139" t="str">
        <f>VLOOKUP(I18,'Pricelist Link'!A6:AC240,3,FALSE)</f>
        <v>Building 1</v>
      </c>
      <c r="J14" s="1139"/>
      <c r="K14" s="1139"/>
      <c r="L14" s="1139"/>
      <c r="M14" s="12"/>
      <c r="AB14" s="508"/>
    </row>
    <row r="15" spans="1:28" ht="16.5" customHeight="1" thickBot="1" x14ac:dyDescent="0.4">
      <c r="A15" s="6"/>
      <c r="D15" s="31"/>
      <c r="E15" s="31"/>
      <c r="F15" s="20"/>
      <c r="G15" s="20"/>
      <c r="H15" s="31"/>
      <c r="I15" s="20"/>
      <c r="J15" s="20"/>
      <c r="K15" s="31"/>
      <c r="L15" s="20"/>
      <c r="M15" s="12"/>
      <c r="AB15" s="508"/>
    </row>
    <row r="16" spans="1:28" ht="39" customHeight="1" x14ac:dyDescent="0.35">
      <c r="A16" s="6"/>
      <c r="D16" s="1138" t="s">
        <v>258</v>
      </c>
      <c r="E16" s="1138"/>
      <c r="F16" s="1138"/>
      <c r="G16" s="1138"/>
      <c r="H16" s="31" t="s">
        <v>5</v>
      </c>
      <c r="I16" s="1139" t="str">
        <f>VLOOKUP(I18,'Pricelist Link'!A6:AC240,4,FALSE)</f>
        <v>Ground Floor</v>
      </c>
      <c r="J16" s="1139"/>
      <c r="K16" s="1139"/>
      <c r="L16" s="1139"/>
      <c r="M16" s="12"/>
      <c r="O16" s="1158" t="s">
        <v>198</v>
      </c>
      <c r="P16" s="1159"/>
      <c r="Q16" s="1159"/>
      <c r="R16" s="1159"/>
      <c r="S16" s="1159"/>
      <c r="T16" s="1159"/>
      <c r="U16" s="1159"/>
      <c r="V16" s="1159"/>
      <c r="W16" s="1160"/>
    </row>
    <row r="17" spans="1:28" ht="16.5" customHeight="1" x14ac:dyDescent="0.35">
      <c r="A17" s="6"/>
      <c r="D17" s="31"/>
      <c r="E17" s="31"/>
      <c r="F17" s="20"/>
      <c r="G17" s="20"/>
      <c r="H17" s="31"/>
      <c r="I17" s="511" t="str">
        <f>VLOOKUP(I18,'Pricelist Link'!A6:AC240,2,FALSE)</f>
        <v>UNSOLD</v>
      </c>
      <c r="J17" s="20"/>
      <c r="K17" s="31"/>
      <c r="L17" s="20"/>
      <c r="M17" s="12"/>
      <c r="O17" s="1153" t="s">
        <v>197</v>
      </c>
      <c r="P17" s="1154"/>
      <c r="Q17" s="1154"/>
      <c r="R17" s="1154"/>
      <c r="S17" s="1154"/>
      <c r="T17" s="1154"/>
      <c r="U17" s="1154"/>
      <c r="V17" s="1154"/>
      <c r="W17" s="1155"/>
    </row>
    <row r="18" spans="1:28" ht="39" customHeight="1" x14ac:dyDescent="0.35">
      <c r="A18" s="6"/>
      <c r="D18" s="1138" t="s">
        <v>191</v>
      </c>
      <c r="E18" s="1138"/>
      <c r="F18" s="1138"/>
      <c r="G18" s="1138"/>
      <c r="H18" s="31" t="s">
        <v>5</v>
      </c>
      <c r="I18" s="1140" t="s">
        <v>485</v>
      </c>
      <c r="J18" s="1140"/>
      <c r="K18" s="1140"/>
      <c r="L18" s="1140"/>
      <c r="M18" s="12"/>
      <c r="O18" s="1156" t="s">
        <v>110</v>
      </c>
      <c r="P18" s="1152"/>
      <c r="Q18" s="1152"/>
      <c r="R18" s="1152"/>
      <c r="S18" s="1152" t="s">
        <v>200</v>
      </c>
      <c r="T18" s="1152"/>
      <c r="U18" s="1152"/>
      <c r="V18" s="1152" t="s">
        <v>163</v>
      </c>
      <c r="W18" s="1157"/>
    </row>
    <row r="19" spans="1:28" ht="24" customHeight="1" x14ac:dyDescent="0.35">
      <c r="D19" s="30"/>
      <c r="E19" s="30"/>
      <c r="F19" s="30"/>
      <c r="G19" s="30"/>
      <c r="H19" s="12"/>
      <c r="I19" s="12"/>
      <c r="J19" s="12"/>
      <c r="K19" s="12"/>
      <c r="L19" s="12"/>
      <c r="M19" s="12"/>
      <c r="O19" s="1147"/>
      <c r="P19" s="1148"/>
      <c r="Q19" s="1148"/>
      <c r="R19" s="1148"/>
      <c r="S19" s="1149"/>
      <c r="T19" s="1149"/>
      <c r="U19" s="1149"/>
      <c r="V19" s="1150"/>
      <c r="W19" s="1151"/>
    </row>
    <row r="20" spans="1:28" ht="39" customHeight="1" x14ac:dyDescent="0.35">
      <c r="D20" s="1136" t="s">
        <v>84</v>
      </c>
      <c r="E20" s="1136"/>
      <c r="F20" s="1136"/>
      <c r="G20" s="1136"/>
      <c r="H20" s="20" t="s">
        <v>5</v>
      </c>
      <c r="I20" s="1130">
        <v>45901</v>
      </c>
      <c r="J20" s="1131"/>
      <c r="K20" s="1131"/>
      <c r="L20" s="1132"/>
      <c r="M20" s="14"/>
      <c r="O20" s="1147"/>
      <c r="P20" s="1148"/>
      <c r="Q20" s="1148"/>
      <c r="R20" s="1148"/>
      <c r="S20" s="1149"/>
      <c r="T20" s="1149"/>
      <c r="U20" s="1149"/>
      <c r="V20" s="1150"/>
      <c r="W20" s="1151"/>
      <c r="X20" s="251"/>
    </row>
    <row r="21" spans="1:28" ht="24" customHeight="1" x14ac:dyDescent="0.35">
      <c r="D21" s="20"/>
      <c r="E21" s="20"/>
      <c r="F21" s="20"/>
      <c r="G21" s="20"/>
      <c r="H21" s="13"/>
      <c r="I21" s="15"/>
      <c r="J21" s="15"/>
      <c r="K21" s="15"/>
      <c r="L21" s="15"/>
      <c r="M21" s="14"/>
      <c r="O21" s="1147"/>
      <c r="P21" s="1148"/>
      <c r="Q21" s="1148"/>
      <c r="R21" s="1148"/>
      <c r="S21" s="1149"/>
      <c r="T21" s="1149"/>
      <c r="U21" s="1149"/>
      <c r="V21" s="1150"/>
      <c r="W21" s="1151"/>
      <c r="Z21" s="11" t="s">
        <v>1</v>
      </c>
    </row>
    <row r="22" spans="1:28" ht="39" customHeight="1" x14ac:dyDescent="0.35">
      <c r="D22" s="1136" t="s">
        <v>17</v>
      </c>
      <c r="E22" s="1136"/>
      <c r="F22" s="1136"/>
      <c r="G22" s="1136"/>
      <c r="H22" s="20"/>
      <c r="I22" s="1141">
        <f>VLOOKUP(I18,'Pricelist Link'!A6:AC240,14,FALSE)</f>
        <v>10000</v>
      </c>
      <c r="J22" s="1142"/>
      <c r="K22" s="1142"/>
      <c r="L22" s="1143"/>
      <c r="M22" s="14"/>
      <c r="O22" s="1147"/>
      <c r="P22" s="1148"/>
      <c r="Q22" s="1148"/>
      <c r="R22" s="1148"/>
      <c r="S22" s="1149"/>
      <c r="T22" s="1149"/>
      <c r="U22" s="1149"/>
      <c r="V22" s="1150"/>
      <c r="W22" s="1151"/>
    </row>
    <row r="23" spans="1:28" ht="24" customHeight="1" x14ac:dyDescent="0.35">
      <c r="D23" s="20"/>
      <c r="E23" s="20"/>
      <c r="F23" s="20"/>
      <c r="G23" s="20"/>
      <c r="H23" s="13"/>
      <c r="I23" s="15"/>
      <c r="J23" s="15"/>
      <c r="K23" s="16"/>
      <c r="L23" s="16"/>
      <c r="M23" s="14"/>
      <c r="O23" s="1153" t="s">
        <v>196</v>
      </c>
      <c r="P23" s="1154"/>
      <c r="Q23" s="1154"/>
      <c r="R23" s="1154"/>
      <c r="S23" s="1154"/>
      <c r="T23" s="1154"/>
      <c r="U23" s="1154"/>
      <c r="V23" s="1154"/>
      <c r="W23" s="1155"/>
      <c r="AB23" s="11" t="s">
        <v>1</v>
      </c>
    </row>
    <row r="24" spans="1:28" ht="39" customHeight="1" x14ac:dyDescent="0.35">
      <c r="D24" s="1138" t="s">
        <v>223</v>
      </c>
      <c r="E24" s="1138"/>
      <c r="F24" s="1138"/>
      <c r="G24" s="1138"/>
      <c r="H24" s="20" t="s">
        <v>5</v>
      </c>
      <c r="I24" s="1144">
        <f>VLOOKUP(I18,'Pricelist Link'!A6:AC240,12,FALSE)</f>
        <v>0.15</v>
      </c>
      <c r="J24" s="1145"/>
      <c r="K24" s="1145"/>
      <c r="L24" s="1146"/>
      <c r="M24" s="14"/>
      <c r="O24" s="1156" t="s">
        <v>110</v>
      </c>
      <c r="P24" s="1152"/>
      <c r="Q24" s="1152"/>
      <c r="R24" s="1152"/>
      <c r="S24" s="1152" t="s">
        <v>200</v>
      </c>
      <c r="T24" s="1152"/>
      <c r="U24" s="1152"/>
      <c r="V24" s="1152" t="s">
        <v>163</v>
      </c>
      <c r="W24" s="1157"/>
      <c r="X24" s="251"/>
    </row>
    <row r="25" spans="1:28" ht="24" customHeight="1" x14ac:dyDescent="0.35">
      <c r="D25" s="20"/>
      <c r="E25" s="20"/>
      <c r="F25" s="20"/>
      <c r="G25" s="20"/>
      <c r="H25" s="13"/>
      <c r="I25" s="15"/>
      <c r="J25" s="15"/>
      <c r="K25" s="16"/>
      <c r="L25" s="16"/>
      <c r="M25" s="14"/>
      <c r="O25" s="1147"/>
      <c r="P25" s="1148"/>
      <c r="Q25" s="1148"/>
      <c r="R25" s="1148"/>
      <c r="S25" s="1149"/>
      <c r="T25" s="1149"/>
      <c r="U25" s="1149"/>
      <c r="V25" s="1150"/>
      <c r="W25" s="1151"/>
    </row>
    <row r="26" spans="1:28" ht="39" customHeight="1" x14ac:dyDescent="0.35">
      <c r="D26" s="1136" t="s">
        <v>85</v>
      </c>
      <c r="E26" s="1136"/>
      <c r="F26" s="1136"/>
      <c r="G26" s="1136"/>
      <c r="H26" s="20" t="s">
        <v>5</v>
      </c>
      <c r="I26" s="1133" t="s">
        <v>316</v>
      </c>
      <c r="J26" s="1134"/>
      <c r="K26" s="1134"/>
      <c r="L26" s="1135"/>
      <c r="M26" s="14"/>
      <c r="O26" s="1147"/>
      <c r="P26" s="1148"/>
      <c r="Q26" s="1148"/>
      <c r="R26" s="1148"/>
      <c r="S26" s="1149"/>
      <c r="T26" s="1149"/>
      <c r="U26" s="1149"/>
      <c r="V26" s="1150"/>
      <c r="W26" s="1151"/>
    </row>
    <row r="27" spans="1:28" ht="25.5" customHeight="1" x14ac:dyDescent="0.35">
      <c r="D27" s="20"/>
      <c r="E27" s="20"/>
      <c r="F27" s="20"/>
      <c r="G27" s="20"/>
      <c r="H27" s="13"/>
      <c r="I27" s="15"/>
      <c r="J27" s="15"/>
      <c r="K27" s="16"/>
      <c r="L27" s="16"/>
      <c r="M27" s="14"/>
      <c r="O27" s="1147"/>
      <c r="P27" s="1148"/>
      <c r="Q27" s="1148"/>
      <c r="R27" s="1148"/>
      <c r="S27" s="1149"/>
      <c r="T27" s="1149"/>
      <c r="U27" s="1149"/>
      <c r="V27" s="1150"/>
      <c r="W27" s="1151"/>
    </row>
    <row r="28" spans="1:28" ht="39" customHeight="1" x14ac:dyDescent="0.35">
      <c r="D28" s="1136" t="s">
        <v>86</v>
      </c>
      <c r="E28" s="1136"/>
      <c r="F28" s="1136"/>
      <c r="G28" s="1136"/>
      <c r="H28" s="20" t="s">
        <v>5</v>
      </c>
      <c r="I28" s="1133" t="s">
        <v>317</v>
      </c>
      <c r="J28" s="1134"/>
      <c r="K28" s="1134"/>
      <c r="L28" s="1135"/>
      <c r="M28" s="12"/>
      <c r="O28" s="1147"/>
      <c r="P28" s="1148"/>
      <c r="Q28" s="1148"/>
      <c r="R28" s="1148"/>
      <c r="S28" s="1149"/>
      <c r="T28" s="1149"/>
      <c r="U28" s="1149"/>
      <c r="V28" s="1150"/>
      <c r="W28" s="1151"/>
    </row>
    <row r="29" spans="1:28" ht="25.5" customHeight="1" x14ac:dyDescent="0.35">
      <c r="D29" s="30"/>
      <c r="E29" s="30"/>
      <c r="F29" s="30"/>
      <c r="G29" s="30"/>
      <c r="H29" s="20"/>
      <c r="I29" s="12"/>
      <c r="J29" s="12"/>
      <c r="K29" s="12"/>
      <c r="L29" s="12"/>
      <c r="M29" s="13"/>
      <c r="O29" s="1153" t="s">
        <v>199</v>
      </c>
      <c r="P29" s="1154"/>
      <c r="Q29" s="1154"/>
      <c r="R29" s="1154"/>
      <c r="S29" s="1154"/>
      <c r="T29" s="1154"/>
      <c r="U29" s="1154"/>
      <c r="V29" s="1154"/>
      <c r="W29" s="1155"/>
    </row>
    <row r="30" spans="1:28" ht="27" customHeight="1" x14ac:dyDescent="0.35">
      <c r="D30" s="1138" t="s">
        <v>203</v>
      </c>
      <c r="E30" s="1138"/>
      <c r="F30" s="1138"/>
      <c r="G30" s="1138"/>
      <c r="H30" s="20" t="s">
        <v>5</v>
      </c>
      <c r="I30" s="1161" t="s">
        <v>318</v>
      </c>
      <c r="J30" s="1162"/>
      <c r="K30" s="1162"/>
      <c r="L30" s="1163"/>
      <c r="M30" s="12"/>
      <c r="O30" s="1156" t="s">
        <v>110</v>
      </c>
      <c r="P30" s="1152"/>
      <c r="Q30" s="1152"/>
      <c r="R30" s="1152"/>
      <c r="S30" s="1152" t="s">
        <v>200</v>
      </c>
      <c r="T30" s="1152"/>
      <c r="U30" s="1152"/>
      <c r="V30" s="1152" t="s">
        <v>201</v>
      </c>
      <c r="W30" s="1157"/>
    </row>
    <row r="31" spans="1:28" ht="27" customHeight="1" x14ac:dyDescent="0.35">
      <c r="D31" s="1138"/>
      <c r="E31" s="1138"/>
      <c r="F31" s="1138"/>
      <c r="G31" s="1138"/>
      <c r="H31" s="20"/>
      <c r="I31" s="1164"/>
      <c r="J31" s="1165"/>
      <c r="K31" s="1165"/>
      <c r="L31" s="1166"/>
      <c r="M31" s="12"/>
      <c r="O31" s="1147"/>
      <c r="P31" s="1148"/>
      <c r="Q31" s="1148"/>
      <c r="R31" s="1148"/>
      <c r="S31" s="1149"/>
      <c r="T31" s="1149"/>
      <c r="U31" s="1149"/>
      <c r="V31" s="1148"/>
      <c r="W31" s="1167"/>
    </row>
    <row r="32" spans="1:28" ht="18.75" customHeight="1" x14ac:dyDescent="0.35">
      <c r="C32" s="17"/>
      <c r="H32"/>
      <c r="O32" s="1147"/>
      <c r="P32" s="1148"/>
      <c r="Q32" s="1148"/>
      <c r="R32" s="1148"/>
      <c r="S32" s="1149"/>
      <c r="T32" s="1149"/>
      <c r="U32" s="1149"/>
      <c r="V32" s="1148"/>
      <c r="W32" s="1167"/>
    </row>
    <row r="33" spans="4:34" ht="24.75" customHeight="1" x14ac:dyDescent="0.35">
      <c r="H33"/>
      <c r="O33" s="1147"/>
      <c r="P33" s="1148"/>
      <c r="Q33" s="1148"/>
      <c r="R33" s="1148"/>
      <c r="S33" s="1149"/>
      <c r="T33" s="1149"/>
      <c r="U33" s="1149"/>
      <c r="V33" s="1148"/>
      <c r="W33" s="1167"/>
    </row>
    <row r="34" spans="4:34" ht="24.75" customHeight="1" thickBot="1" x14ac:dyDescent="0.4">
      <c r="O34" s="1171"/>
      <c r="P34" s="1168"/>
      <c r="Q34" s="1168"/>
      <c r="R34" s="1168"/>
      <c r="S34" s="1170"/>
      <c r="T34" s="1170"/>
      <c r="U34" s="1170"/>
      <c r="V34" s="1168"/>
      <c r="W34" s="1169"/>
    </row>
    <row r="35" spans="4:34" ht="24.75" customHeight="1" x14ac:dyDescent="0.35">
      <c r="O35" s="526"/>
      <c r="P35" s="526"/>
      <c r="Q35" s="526"/>
      <c r="R35" s="526"/>
      <c r="S35" s="527"/>
      <c r="T35" s="527"/>
      <c r="U35" s="527"/>
      <c r="V35" s="526"/>
      <c r="W35" s="526"/>
    </row>
    <row r="36" spans="4:34" ht="39" customHeight="1" x14ac:dyDescent="0.35">
      <c r="D36" s="1119" t="s">
        <v>231</v>
      </c>
      <c r="E36" s="1119"/>
      <c r="F36" s="1119"/>
      <c r="G36" s="1119"/>
      <c r="H36" s="1119"/>
      <c r="I36" s="1119"/>
      <c r="J36" s="1119"/>
      <c r="K36" s="1119"/>
      <c r="L36" s="1119"/>
      <c r="M36" s="1119"/>
      <c r="N36" s="1119"/>
      <c r="O36" s="1119"/>
      <c r="P36" s="1119"/>
      <c r="Q36" s="1119"/>
      <c r="R36" s="1119"/>
      <c r="S36" s="1119"/>
      <c r="T36" s="1119"/>
      <c r="U36" s="1119"/>
      <c r="V36" s="1119"/>
      <c r="W36" s="1119"/>
    </row>
    <row r="37" spans="4:34" ht="24.75" customHeight="1" x14ac:dyDescent="0.35"/>
    <row r="38" spans="4:34" ht="33.75" customHeight="1" x14ac:dyDescent="0.35">
      <c r="D38" s="1123" t="s">
        <v>234</v>
      </c>
      <c r="E38" s="1123"/>
      <c r="F38" s="1123" t="s">
        <v>206</v>
      </c>
      <c r="G38" s="1123"/>
      <c r="H38" s="30"/>
      <c r="I38" s="1113" t="s">
        <v>232</v>
      </c>
      <c r="J38" s="1113"/>
      <c r="K38" s="1120" t="s">
        <v>236</v>
      </c>
      <c r="L38" s="1121"/>
      <c r="M38" s="1121"/>
      <c r="N38" s="1121"/>
      <c r="O38" s="1122"/>
      <c r="P38" s="1120" t="s">
        <v>215</v>
      </c>
      <c r="Q38" s="1121"/>
      <c r="R38" s="1121"/>
      <c r="S38" s="1122"/>
      <c r="T38" s="1113" t="s">
        <v>218</v>
      </c>
      <c r="U38" s="1113"/>
      <c r="V38" s="30"/>
      <c r="W38" s="30"/>
    </row>
    <row r="39" spans="4:34" ht="33.75" customHeight="1" x14ac:dyDescent="0.35">
      <c r="D39" s="1117" t="str">
        <f>'STANDARD COMP.'!E8</f>
        <v>GF-B1-12</v>
      </c>
      <c r="E39" s="1117"/>
      <c r="F39" s="1118">
        <f>'STANDARD COMP.'!E26</f>
        <v>1</v>
      </c>
      <c r="G39" s="1117"/>
      <c r="H39" s="30"/>
      <c r="I39" s="1113" t="s">
        <v>237</v>
      </c>
      <c r="J39" s="1113"/>
      <c r="K39" s="1114"/>
      <c r="L39" s="1115"/>
      <c r="M39" s="1115"/>
      <c r="N39" s="1115"/>
      <c r="O39" s="1116"/>
      <c r="P39" s="1114"/>
      <c r="Q39" s="1115"/>
      <c r="R39" s="1115"/>
      <c r="S39" s="1116"/>
      <c r="T39" s="1112">
        <f>'INTERNAL PRICELIST'!Y9</f>
        <v>0.25</v>
      </c>
      <c r="U39" s="1112"/>
      <c r="V39" s="30"/>
      <c r="W39" s="30"/>
    </row>
    <row r="40" spans="4:34" ht="33.75" customHeight="1" x14ac:dyDescent="0.35">
      <c r="D40" s="30"/>
      <c r="E40" s="30"/>
      <c r="F40" s="30"/>
      <c r="G40" s="30"/>
      <c r="H40" s="30"/>
      <c r="I40" s="1113" t="s">
        <v>238</v>
      </c>
      <c r="J40" s="1113"/>
      <c r="K40" s="1114"/>
      <c r="L40" s="1115"/>
      <c r="M40" s="1115"/>
      <c r="N40" s="1115"/>
      <c r="O40" s="1116"/>
      <c r="P40" s="1114"/>
      <c r="Q40" s="1115"/>
      <c r="R40" s="1115"/>
      <c r="S40" s="1116"/>
      <c r="T40" s="1112">
        <f>'INTERNAL PRICELIST'!Y10</f>
        <v>0.35</v>
      </c>
      <c r="U40" s="1112"/>
      <c r="V40" s="30"/>
      <c r="W40" s="30"/>
    </row>
    <row r="41" spans="4:34" ht="33.75" customHeight="1" x14ac:dyDescent="0.35">
      <c r="D41" s="30"/>
      <c r="E41" s="30"/>
      <c r="F41" s="30"/>
      <c r="G41" s="30"/>
      <c r="H41" s="30"/>
      <c r="I41" s="1113" t="s">
        <v>239</v>
      </c>
      <c r="J41" s="1113"/>
      <c r="K41" s="1114"/>
      <c r="L41" s="1115"/>
      <c r="M41" s="1115"/>
      <c r="N41" s="1115"/>
      <c r="O41" s="1116"/>
      <c r="P41" s="1114"/>
      <c r="Q41" s="1115"/>
      <c r="R41" s="1115"/>
      <c r="S41" s="1116"/>
      <c r="T41" s="1112">
        <f>'INTERNAL PRICELIST'!Y11</f>
        <v>0.4</v>
      </c>
      <c r="U41" s="1112"/>
      <c r="V41" s="30"/>
      <c r="W41" s="30"/>
    </row>
    <row r="42" spans="4:34" ht="42" customHeight="1" x14ac:dyDescent="0.35">
      <c r="I42" s="1181" t="s">
        <v>235</v>
      </c>
      <c r="J42" s="1181"/>
      <c r="K42" s="1181"/>
      <c r="L42" s="1181"/>
      <c r="M42" s="1181"/>
      <c r="N42" s="1181"/>
      <c r="O42" s="1181"/>
      <c r="P42" s="1181">
        <f>SUM(P39:S41)</f>
        <v>0</v>
      </c>
      <c r="Q42" s="1181"/>
      <c r="R42" s="1181"/>
      <c r="S42" s="1181"/>
      <c r="T42" s="1182">
        <f>SUM(T39:U41)</f>
        <v>1</v>
      </c>
      <c r="U42" s="1181"/>
    </row>
    <row r="43" spans="4:34" ht="42" customHeight="1" x14ac:dyDescent="0.35">
      <c r="I43" s="550"/>
      <c r="J43" s="550"/>
      <c r="K43" s="550"/>
      <c r="L43" s="550"/>
      <c r="M43" s="550"/>
      <c r="N43" s="550"/>
      <c r="O43" s="550"/>
      <c r="P43" s="550"/>
      <c r="Q43" s="550"/>
      <c r="R43" s="550"/>
      <c r="S43" s="550"/>
      <c r="T43" s="551"/>
      <c r="U43" s="550"/>
    </row>
    <row r="44" spans="4:34" ht="42" customHeight="1" x14ac:dyDescent="0.35">
      <c r="I44" s="1178" t="s">
        <v>269</v>
      </c>
      <c r="J44" s="1179"/>
      <c r="K44" s="1179"/>
      <c r="L44" s="1179"/>
      <c r="M44" s="1179"/>
      <c r="N44" s="1179"/>
      <c r="O44" s="1179"/>
      <c r="P44" s="1179"/>
      <c r="Q44" s="1179"/>
      <c r="R44" s="1179"/>
      <c r="S44" s="1179"/>
      <c r="T44" s="1179"/>
      <c r="U44" s="1180"/>
      <c r="V44"/>
      <c r="W44"/>
      <c r="X44"/>
      <c r="Y44"/>
      <c r="Z44"/>
      <c r="AA44"/>
      <c r="AB44"/>
      <c r="AC44" s="252"/>
      <c r="AD44"/>
      <c r="AE44"/>
      <c r="AF44"/>
      <c r="AG44"/>
      <c r="AH44"/>
    </row>
    <row r="45" spans="4:34" ht="42" customHeight="1" x14ac:dyDescent="0.35">
      <c r="I45" s="1120" t="s">
        <v>158</v>
      </c>
      <c r="J45" s="1121"/>
      <c r="K45" s="1121"/>
      <c r="L45" s="1122"/>
      <c r="M45" s="1120" t="s">
        <v>264</v>
      </c>
      <c r="N45" s="1121"/>
      <c r="O45" s="1121"/>
      <c r="P45" s="1121"/>
      <c r="Q45" s="1121"/>
      <c r="R45" s="1121"/>
      <c r="S45" s="1122"/>
      <c r="T45" s="1120" t="s">
        <v>205</v>
      </c>
      <c r="U45" s="1122"/>
      <c r="V45"/>
      <c r="W45"/>
      <c r="X45"/>
      <c r="Y45"/>
      <c r="Z45"/>
      <c r="AA45"/>
      <c r="AB45"/>
      <c r="AC45" s="252"/>
    </row>
    <row r="46" spans="4:34" ht="42" customHeight="1" x14ac:dyDescent="0.35">
      <c r="I46" s="1172" t="s">
        <v>265</v>
      </c>
      <c r="J46" s="1173"/>
      <c r="K46" s="1173"/>
      <c r="L46" s="1174"/>
      <c r="M46" s="1175"/>
      <c r="N46" s="1176"/>
      <c r="O46" s="1176"/>
      <c r="P46" s="1176"/>
      <c r="Q46" s="1176"/>
      <c r="R46" s="1176"/>
      <c r="S46" s="1177"/>
      <c r="T46" s="1175"/>
      <c r="U46" s="1177"/>
      <c r="V46"/>
      <c r="W46"/>
      <c r="X46"/>
      <c r="Y46"/>
      <c r="Z46"/>
      <c r="AA46"/>
      <c r="AB46"/>
      <c r="AC46" s="252"/>
    </row>
    <row r="47" spans="4:34" ht="42" customHeight="1" x14ac:dyDescent="0.35">
      <c r="I47" s="1172" t="s">
        <v>266</v>
      </c>
      <c r="J47" s="1173"/>
      <c r="K47" s="1173"/>
      <c r="L47" s="1174"/>
      <c r="M47" s="1175"/>
      <c r="N47" s="1176"/>
      <c r="O47" s="1176"/>
      <c r="P47" s="1176"/>
      <c r="Q47" s="1176"/>
      <c r="R47" s="1176"/>
      <c r="S47" s="1177"/>
      <c r="T47" s="1175"/>
      <c r="U47" s="1177"/>
      <c r="V47"/>
      <c r="W47"/>
      <c r="X47"/>
      <c r="Y47"/>
      <c r="Z47"/>
      <c r="AA47"/>
      <c r="AB47"/>
      <c r="AC47" s="252"/>
    </row>
    <row r="48" spans="4:34" ht="42" customHeight="1" x14ac:dyDescent="0.35">
      <c r="I48" s="1172" t="s">
        <v>267</v>
      </c>
      <c r="J48" s="1173"/>
      <c r="K48" s="1173"/>
      <c r="L48" s="1174"/>
      <c r="M48" s="1175"/>
      <c r="N48" s="1176"/>
      <c r="O48" s="1176"/>
      <c r="P48" s="1176"/>
      <c r="Q48" s="1176"/>
      <c r="R48" s="1176"/>
      <c r="S48" s="1177"/>
      <c r="T48" s="1175"/>
      <c r="U48" s="1177"/>
      <c r="V48"/>
      <c r="W48"/>
      <c r="X48"/>
      <c r="Y48"/>
      <c r="Z48"/>
      <c r="AA48"/>
      <c r="AB48"/>
      <c r="AC48" s="252"/>
    </row>
    <row r="49" spans="9:29" ht="42" customHeight="1" x14ac:dyDescent="0.35">
      <c r="I49" s="1172" t="s">
        <v>268</v>
      </c>
      <c r="J49" s="1173"/>
      <c r="K49" s="1173"/>
      <c r="L49" s="1174"/>
      <c r="M49" s="1175"/>
      <c r="N49" s="1176"/>
      <c r="O49" s="1176"/>
      <c r="P49" s="1176"/>
      <c r="Q49" s="1176"/>
      <c r="R49" s="1176"/>
      <c r="S49" s="1177"/>
      <c r="T49" s="1175"/>
      <c r="U49" s="1177"/>
      <c r="V49"/>
      <c r="W49"/>
      <c r="X49"/>
      <c r="Y49"/>
      <c r="Z49"/>
      <c r="AA49"/>
      <c r="AB49"/>
      <c r="AC49" s="252"/>
    </row>
    <row r="50" spans="9:29" ht="17.5" x14ac:dyDescent="0.35">
      <c r="I50"/>
      <c r="J50"/>
      <c r="K50"/>
      <c r="L50"/>
      <c r="M50"/>
      <c r="N50"/>
      <c r="O50"/>
      <c r="P50"/>
      <c r="Q50"/>
      <c r="R50"/>
      <c r="S50"/>
      <c r="T50"/>
      <c r="U50"/>
      <c r="V50"/>
      <c r="W50"/>
      <c r="X50"/>
      <c r="Y50"/>
      <c r="Z50"/>
      <c r="AA50"/>
      <c r="AB50"/>
      <c r="AC50" s="252"/>
    </row>
    <row r="51" spans="9:29" ht="18" hidden="1" customHeight="1" x14ac:dyDescent="0.35">
      <c r="I51" s="1183"/>
      <c r="J51" s="1183"/>
      <c r="K51" s="1183"/>
      <c r="L51" s="1183"/>
      <c r="M51" s="1183"/>
      <c r="N51" s="1183"/>
      <c r="O51" s="1183"/>
      <c r="P51" s="1183"/>
      <c r="Q51" s="1184"/>
      <c r="R51" s="1184"/>
      <c r="S51" s="1184"/>
      <c r="T51" s="1184"/>
      <c r="U51" s="1184"/>
      <c r="V51" s="1184"/>
      <c r="W51" s="1184"/>
      <c r="X51" s="1184"/>
      <c r="Y51" s="1184"/>
      <c r="Z51" s="1184"/>
      <c r="AA51" s="1184"/>
      <c r="AB51" s="1184"/>
      <c r="AC51" s="1184"/>
    </row>
    <row r="52" spans="9:29" ht="18" hidden="1" customHeight="1" x14ac:dyDescent="0.35"/>
    <row r="53" spans="9:29" ht="18" hidden="1" customHeight="1" x14ac:dyDescent="0.35"/>
    <row r="54" spans="9:29" ht="18" hidden="1" customHeight="1" x14ac:dyDescent="0.35"/>
    <row r="55" spans="9:29" ht="18" hidden="1" customHeight="1" x14ac:dyDescent="0.35"/>
    <row r="56" spans="9:29" ht="18" hidden="1" customHeight="1" x14ac:dyDescent="0.35"/>
    <row r="57" spans="9:29" ht="18" hidden="1" customHeight="1" x14ac:dyDescent="0.35"/>
    <row r="58" spans="9:29" ht="18" hidden="1" customHeight="1" x14ac:dyDescent="0.35"/>
    <row r="59" spans="9:29" ht="18" hidden="1" customHeight="1" x14ac:dyDescent="0.35"/>
    <row r="60" spans="9:29" ht="18" hidden="1" customHeight="1" x14ac:dyDescent="0.35"/>
    <row r="61" spans="9:29" ht="18" hidden="1" customHeight="1" x14ac:dyDescent="0.35"/>
    <row r="62" spans="9:29" ht="18" hidden="1" customHeight="1" x14ac:dyDescent="0.35"/>
  </sheetData>
  <sheetProtection password="CC2E" sheet="1" selectLockedCells="1"/>
  <mergeCells count="95">
    <mergeCell ref="I46:L46"/>
    <mergeCell ref="M46:S46"/>
    <mergeCell ref="T46:U46"/>
    <mergeCell ref="I47:L47"/>
    <mergeCell ref="M47:S47"/>
    <mergeCell ref="T47:U47"/>
    <mergeCell ref="I51:P51"/>
    <mergeCell ref="Q51:W51"/>
    <mergeCell ref="X51:AC51"/>
    <mergeCell ref="I49:L49"/>
    <mergeCell ref="M49:S49"/>
    <mergeCell ref="T49:U49"/>
    <mergeCell ref="I48:L48"/>
    <mergeCell ref="M48:S48"/>
    <mergeCell ref="T48:U48"/>
    <mergeCell ref="D14:G14"/>
    <mergeCell ref="I14:L14"/>
    <mergeCell ref="I45:L45"/>
    <mergeCell ref="T45:U45"/>
    <mergeCell ref="M45:S45"/>
    <mergeCell ref="I44:U44"/>
    <mergeCell ref="I42:O42"/>
    <mergeCell ref="P42:S42"/>
    <mergeCell ref="T42:U42"/>
    <mergeCell ref="I41:J41"/>
    <mergeCell ref="K41:O41"/>
    <mergeCell ref="P41:S41"/>
    <mergeCell ref="T41:U41"/>
    <mergeCell ref="I30:L31"/>
    <mergeCell ref="D30:G31"/>
    <mergeCell ref="V33:W34"/>
    <mergeCell ref="S33:U34"/>
    <mergeCell ref="O33:R34"/>
    <mergeCell ref="O31:R32"/>
    <mergeCell ref="S31:U32"/>
    <mergeCell ref="V31:W32"/>
    <mergeCell ref="V30:W30"/>
    <mergeCell ref="V27:W28"/>
    <mergeCell ref="S27:U28"/>
    <mergeCell ref="O27:R28"/>
    <mergeCell ref="O29:W29"/>
    <mergeCell ref="O30:R30"/>
    <mergeCell ref="S30:U30"/>
    <mergeCell ref="O17:W17"/>
    <mergeCell ref="O16:W16"/>
    <mergeCell ref="O18:R18"/>
    <mergeCell ref="S18:U18"/>
    <mergeCell ref="V18:W18"/>
    <mergeCell ref="S25:U26"/>
    <mergeCell ref="O25:R26"/>
    <mergeCell ref="V25:W26"/>
    <mergeCell ref="O24:R24"/>
    <mergeCell ref="V24:W24"/>
    <mergeCell ref="O19:R20"/>
    <mergeCell ref="S19:U20"/>
    <mergeCell ref="V19:W20"/>
    <mergeCell ref="S24:U24"/>
    <mergeCell ref="O23:W23"/>
    <mergeCell ref="O21:R22"/>
    <mergeCell ref="S21:U22"/>
    <mergeCell ref="V21:W22"/>
    <mergeCell ref="D28:G28"/>
    <mergeCell ref="D22:G22"/>
    <mergeCell ref="I16:L16"/>
    <mergeCell ref="I18:L18"/>
    <mergeCell ref="I22:L22"/>
    <mergeCell ref="D24:G24"/>
    <mergeCell ref="I24:L24"/>
    <mergeCell ref="I28:L28"/>
    <mergeCell ref="I11:L12"/>
    <mergeCell ref="I20:L20"/>
    <mergeCell ref="I26:L26"/>
    <mergeCell ref="D11:G12"/>
    <mergeCell ref="H11:H12"/>
    <mergeCell ref="D20:G20"/>
    <mergeCell ref="D16:G16"/>
    <mergeCell ref="D18:G18"/>
    <mergeCell ref="D26:G26"/>
    <mergeCell ref="D36:W36"/>
    <mergeCell ref="I38:J38"/>
    <mergeCell ref="K38:O38"/>
    <mergeCell ref="P38:S38"/>
    <mergeCell ref="T38:U38"/>
    <mergeCell ref="D38:E38"/>
    <mergeCell ref="F38:G38"/>
    <mergeCell ref="T39:U39"/>
    <mergeCell ref="I40:J40"/>
    <mergeCell ref="K40:O40"/>
    <mergeCell ref="D39:E39"/>
    <mergeCell ref="F39:G39"/>
    <mergeCell ref="I39:J39"/>
    <mergeCell ref="K39:O39"/>
    <mergeCell ref="P39:S39"/>
    <mergeCell ref="P40:S40"/>
    <mergeCell ref="T40:U40"/>
  </mergeCells>
  <phoneticPr fontId="29" type="noConversion"/>
  <dataValidations xWindow="339" yWindow="611" count="3">
    <dataValidation allowBlank="1" showInputMessage="1" showErrorMessage="1" prompt="i.e. 1st to 11th month" sqref="K39:O39" xr:uid="{00000000-0002-0000-0400-000000000000}"/>
    <dataValidation allowBlank="1" showInputMessage="1" showErrorMessage="1" prompt="i.e. 12th to 23rd month" sqref="K40:O40" xr:uid="{00000000-0002-0000-0400-000001000000}"/>
    <dataValidation allowBlank="1" showInputMessage="1" showErrorMessage="1" prompt="i.e. 24th month to 35rd month" sqref="K41:O41" xr:uid="{00000000-0002-0000-0400-000002000000}"/>
  </dataValidation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dimension ref="A1:BA856"/>
  <sheetViews>
    <sheetView showGridLines="0" showZeros="0" showRuler="0" view="pageLayout" topLeftCell="A13" zoomScale="81" zoomScaleNormal="100" zoomScaleSheetLayoutView="70" zoomScalePageLayoutView="81" workbookViewId="0">
      <selection activeCell="E26" sqref="E26"/>
    </sheetView>
  </sheetViews>
  <sheetFormatPr defaultColWidth="8.81640625" defaultRowHeight="15.75" customHeight="1" x14ac:dyDescent="0.25"/>
  <cols>
    <col min="1" max="1" width="1" style="122" customWidth="1"/>
    <col min="2" max="2" width="12.54296875" style="122" customWidth="1"/>
    <col min="3" max="3" width="18.81640625" style="122" customWidth="1"/>
    <col min="4" max="4" width="17.81640625" style="122" customWidth="1"/>
    <col min="5" max="5" width="23.453125" style="122" customWidth="1"/>
    <col min="6" max="6" width="15.1796875" style="122" customWidth="1"/>
    <col min="7" max="7" width="8.1796875" style="122" customWidth="1"/>
    <col min="8" max="8" width="4.453125" style="122" customWidth="1"/>
    <col min="9" max="9" width="17.81640625" style="122" customWidth="1"/>
    <col min="10" max="10" width="2.1796875" style="122" customWidth="1"/>
    <col min="11" max="11" width="9.1796875" style="122" customWidth="1"/>
    <col min="12" max="12" width="20.1796875" style="176" customWidth="1"/>
    <col min="13" max="13" width="18.1796875" style="122" customWidth="1"/>
    <col min="14" max="14" width="21.81640625" style="122" customWidth="1"/>
    <col min="15" max="15" width="12.1796875" style="122" customWidth="1"/>
    <col min="16" max="16" width="16.81640625" style="122" customWidth="1"/>
    <col min="17" max="17" width="21.453125" style="122" customWidth="1"/>
    <col min="18" max="18" width="4.81640625" style="122" customWidth="1"/>
    <col min="19" max="19" width="8.81640625" style="122"/>
    <col min="20" max="20" width="19" style="382" hidden="1" customWidth="1"/>
    <col min="21" max="21" width="8.81640625" style="382" hidden="1" customWidth="1"/>
    <col min="22" max="22" width="8.81640625" style="122" hidden="1" customWidth="1"/>
    <col min="23" max="24" width="11.453125" style="122" hidden="1" customWidth="1"/>
    <col min="25" max="26" width="8.81640625" style="122" hidden="1" customWidth="1"/>
    <col min="27" max="27" width="11.1796875" style="122" hidden="1" customWidth="1"/>
    <col min="28" max="28" width="8.81640625" style="122"/>
    <col min="29" max="29" width="13.1796875" style="122" customWidth="1"/>
    <col min="30" max="30" width="14.54296875" style="122" customWidth="1"/>
    <col min="31" max="31" width="8.81640625" style="122"/>
    <col min="32" max="32" width="9.1796875" style="122" bestFit="1" customWidth="1"/>
    <col min="33" max="33" width="17.1796875" style="122" customWidth="1"/>
    <col min="34" max="34" width="17.81640625" style="122" customWidth="1"/>
    <col min="35" max="35" width="9.81640625" style="122" customWidth="1"/>
    <col min="36" max="36" width="10.81640625" style="383" customWidth="1"/>
    <col min="37" max="37" width="13.453125" style="122" customWidth="1"/>
    <col min="38" max="38" width="12.81640625" style="122" customWidth="1"/>
    <col min="39" max="41" width="13.1796875" style="122" customWidth="1"/>
    <col min="42" max="42" width="11.1796875" style="122" customWidth="1"/>
    <col min="43" max="43" width="14.81640625" style="122" customWidth="1"/>
    <col min="44" max="44" width="5.81640625" style="122" customWidth="1"/>
    <col min="45" max="45" width="11.81640625" style="122" customWidth="1"/>
    <col min="46" max="46" width="12.81640625" style="122" customWidth="1"/>
    <col min="47" max="47" width="11.81640625" style="122" customWidth="1"/>
    <col min="48" max="48" width="12.81640625" style="122" customWidth="1"/>
    <col min="49" max="49" width="12.81640625" style="384" customWidth="1"/>
    <col min="50" max="50" width="14.54296875" style="385" customWidth="1"/>
    <col min="51" max="55" width="12.81640625" style="122" customWidth="1"/>
    <col min="56" max="16384" width="8.81640625" style="122"/>
  </cols>
  <sheetData>
    <row r="1" spans="1:50" ht="4.5" customHeight="1" x14ac:dyDescent="0.25">
      <c r="B1" s="376"/>
      <c r="C1" s="377" t="e">
        <f>(F13-(F14+#REF!))*12%</f>
        <v>#REF!</v>
      </c>
      <c r="D1" s="282" t="e">
        <f>FORM!#REF!</f>
        <v>#REF!</v>
      </c>
      <c r="E1" s="378"/>
      <c r="F1" s="8"/>
      <c r="G1" s="379"/>
      <c r="H1" s="379"/>
      <c r="J1" s="380">
        <v>0.01</v>
      </c>
      <c r="K1" s="378"/>
      <c r="L1" s="381"/>
      <c r="M1" s="381"/>
      <c r="N1" s="138"/>
    </row>
    <row r="2" spans="1:50" ht="12.5" x14ac:dyDescent="0.25">
      <c r="B2" s="239" t="s">
        <v>2</v>
      </c>
      <c r="C2" s="499">
        <f>FORM!I20</f>
        <v>45901</v>
      </c>
      <c r="D2" s="238"/>
      <c r="F2" s="178" t="s">
        <v>87</v>
      </c>
      <c r="G2" s="1206" t="s">
        <v>88</v>
      </c>
      <c r="H2" s="1206"/>
      <c r="I2" s="1206"/>
      <c r="J2" s="200"/>
      <c r="K2" s="178" t="s">
        <v>2</v>
      </c>
      <c r="L2" s="499">
        <f>C2</f>
        <v>45901</v>
      </c>
      <c r="M2" s="123"/>
      <c r="O2" s="269"/>
      <c r="P2" s="239" t="s">
        <v>89</v>
      </c>
      <c r="Q2" s="386" t="s">
        <v>90</v>
      </c>
    </row>
    <row r="3" spans="1:50" ht="12.5" x14ac:dyDescent="0.25">
      <c r="C3" s="8"/>
      <c r="D3" s="8"/>
      <c r="E3" s="200"/>
      <c r="F3" s="200"/>
      <c r="G3" s="200"/>
      <c r="H3" s="200"/>
      <c r="I3" s="200"/>
      <c r="J3" s="200"/>
      <c r="K3" s="387"/>
      <c r="L3" s="388"/>
      <c r="M3" s="389"/>
      <c r="N3" s="390"/>
      <c r="O3" s="390"/>
      <c r="P3" s="390"/>
      <c r="Q3" s="390"/>
    </row>
    <row r="4" spans="1:50" s="670" customFormat="1" ht="18.75" customHeight="1" x14ac:dyDescent="0.35">
      <c r="A4" s="668"/>
      <c r="B4" s="1212" t="s">
        <v>0</v>
      </c>
      <c r="C4" s="1212"/>
      <c r="D4" s="1212"/>
      <c r="E4" s="1212"/>
      <c r="F4" s="1212"/>
      <c r="G4" s="1212"/>
      <c r="H4" s="1212"/>
      <c r="I4" s="1213"/>
      <c r="J4" s="669"/>
      <c r="K4" s="1214" t="s">
        <v>3</v>
      </c>
      <c r="L4" s="1214"/>
      <c r="M4" s="1214"/>
      <c r="N4" s="1214"/>
      <c r="O4" s="1214"/>
      <c r="P4" s="1214"/>
      <c r="Q4" s="1214"/>
      <c r="T4" s="671"/>
      <c r="U4" s="671"/>
      <c r="AJ4" s="672"/>
      <c r="AW4" s="673"/>
      <c r="AX4" s="674"/>
    </row>
    <row r="5" spans="1:50" ht="12" customHeight="1" x14ac:dyDescent="0.25">
      <c r="A5" s="123"/>
      <c r="B5" s="123"/>
      <c r="C5" s="125"/>
      <c r="D5" s="125"/>
      <c r="E5" s="123"/>
      <c r="F5" s="125"/>
      <c r="G5" s="125"/>
      <c r="H5" s="125"/>
      <c r="I5" s="270"/>
      <c r="J5" s="200"/>
      <c r="K5" s="200"/>
      <c r="L5" s="200"/>
      <c r="M5" s="271"/>
      <c r="N5" s="123"/>
      <c r="O5" s="123"/>
      <c r="P5" s="123"/>
      <c r="Q5" s="123"/>
    </row>
    <row r="6" spans="1:50" ht="12.5" x14ac:dyDescent="0.25">
      <c r="A6" s="123"/>
      <c r="B6" s="391" t="s">
        <v>4</v>
      </c>
      <c r="C6" s="392"/>
      <c r="D6" s="194" t="s">
        <v>5</v>
      </c>
      <c r="E6" s="1207" t="str">
        <f>FORM!I26</f>
        <v>buyer</v>
      </c>
      <c r="F6" s="1208"/>
      <c r="G6" s="1208"/>
      <c r="H6" s="1208"/>
      <c r="I6" s="1209"/>
      <c r="J6" s="200"/>
      <c r="K6" s="1211" t="str">
        <f>B6</f>
        <v>CLIENT'S NAME</v>
      </c>
      <c r="L6" s="1211"/>
      <c r="M6" s="194" t="s">
        <v>5</v>
      </c>
      <c r="N6" s="1210" t="str">
        <f t="shared" ref="N6:N11" si="0">E6</f>
        <v>buyer</v>
      </c>
      <c r="O6" s="1210"/>
      <c r="P6" s="1210"/>
      <c r="Q6" s="1210"/>
    </row>
    <row r="7" spans="1:50" ht="13" thickBot="1" x14ac:dyDescent="0.3">
      <c r="A7" s="123"/>
      <c r="B7" s="204" t="s">
        <v>6</v>
      </c>
      <c r="C7" s="393"/>
      <c r="D7" s="194" t="s">
        <v>5</v>
      </c>
      <c r="E7" s="1207" t="str">
        <f>FORM!$I$11</f>
        <v>The Southprime Flats</v>
      </c>
      <c r="F7" s="1208"/>
      <c r="G7" s="1208"/>
      <c r="H7" s="1208"/>
      <c r="I7" s="1209"/>
      <c r="J7" s="200"/>
      <c r="K7" s="1211" t="str">
        <f t="shared" ref="K7:K11" si="1">B7</f>
        <v>PROJECT NAME</v>
      </c>
      <c r="L7" s="1211"/>
      <c r="M7" s="394" t="s">
        <v>5</v>
      </c>
      <c r="N7" s="1210" t="str">
        <f t="shared" si="0"/>
        <v>The Southprime Flats</v>
      </c>
      <c r="O7" s="1210"/>
      <c r="P7" s="1210"/>
      <c r="Q7" s="1210"/>
    </row>
    <row r="8" spans="1:50" ht="12.5" x14ac:dyDescent="0.25">
      <c r="A8" s="260"/>
      <c r="B8" s="391" t="s">
        <v>278</v>
      </c>
      <c r="C8" s="392"/>
      <c r="D8" s="194" t="s">
        <v>5</v>
      </c>
      <c r="E8" s="1207" t="str">
        <f>IF(FORM!I17="UNSOLD",FORM!I18,"UNABLE TO PROCESS, PLEASE PICK OTHER UNIT")</f>
        <v>GF-B1-12</v>
      </c>
      <c r="F8" s="1208"/>
      <c r="G8" s="1208"/>
      <c r="H8" s="1208"/>
      <c r="I8" s="1209"/>
      <c r="J8" s="200"/>
      <c r="K8" s="1211" t="str">
        <f t="shared" si="1"/>
        <v>PARKING SLOT NUMBER</v>
      </c>
      <c r="L8" s="1211"/>
      <c r="M8" s="194" t="s">
        <v>5</v>
      </c>
      <c r="N8" s="1210" t="str">
        <f>E8</f>
        <v>GF-B1-12</v>
      </c>
      <c r="O8" s="1210"/>
      <c r="P8" s="1210"/>
      <c r="Q8" s="1210"/>
    </row>
    <row r="9" spans="1:50" ht="13.5" customHeight="1" x14ac:dyDescent="0.25">
      <c r="A9" s="123"/>
      <c r="B9" s="204" t="s">
        <v>315</v>
      </c>
      <c r="C9" s="393"/>
      <c r="D9" s="194" t="s">
        <v>5</v>
      </c>
      <c r="E9" s="1207" t="str">
        <f>FORM!I14</f>
        <v>Building 1</v>
      </c>
      <c r="F9" s="1208"/>
      <c r="G9" s="1208"/>
      <c r="H9" s="1208"/>
      <c r="I9" s="1209"/>
      <c r="J9" s="200"/>
      <c r="K9" s="1211" t="str">
        <f t="shared" si="1"/>
        <v>BUILDING</v>
      </c>
      <c r="L9" s="1211"/>
      <c r="M9" s="194" t="s">
        <v>5</v>
      </c>
      <c r="N9" s="1210" t="str">
        <f t="shared" si="0"/>
        <v>Building 1</v>
      </c>
      <c r="O9" s="1210"/>
      <c r="P9" s="1210"/>
      <c r="Q9" s="1210"/>
    </row>
    <row r="10" spans="1:50" ht="13" thickBot="1" x14ac:dyDescent="0.3">
      <c r="A10" s="123"/>
      <c r="B10" s="204" t="s">
        <v>279</v>
      </c>
      <c r="C10" s="393"/>
      <c r="D10" s="194" t="s">
        <v>5</v>
      </c>
      <c r="E10" s="1207" t="str">
        <f>VLOOKUP(E8,'Pricelist Link'!A6:AC240,6,FALSE)</f>
        <v>Single Slot</v>
      </c>
      <c r="F10" s="1208"/>
      <c r="G10" s="1208"/>
      <c r="H10" s="1208"/>
      <c r="I10" s="1209"/>
      <c r="J10" s="200"/>
      <c r="K10" s="1211" t="str">
        <f t="shared" si="1"/>
        <v>PARKING MODEL</v>
      </c>
      <c r="L10" s="1211"/>
      <c r="M10" s="394" t="s">
        <v>5</v>
      </c>
      <c r="N10" s="1210" t="str">
        <f t="shared" si="0"/>
        <v>Single Slot</v>
      </c>
      <c r="O10" s="1210"/>
      <c r="P10" s="1210"/>
      <c r="Q10" s="1210"/>
    </row>
    <row r="11" spans="1:50" ht="12.5" x14ac:dyDescent="0.25">
      <c r="A11" s="123"/>
      <c r="B11" s="204" t="s">
        <v>280</v>
      </c>
      <c r="C11" s="393"/>
      <c r="D11" s="194" t="s">
        <v>5</v>
      </c>
      <c r="E11" s="1215">
        <f>VLOOKUP(E8,'Pricelist Link'!A6:AC240,7,FALSE)</f>
        <v>13.5</v>
      </c>
      <c r="F11" s="1216"/>
      <c r="G11" s="395" t="s">
        <v>11</v>
      </c>
      <c r="H11" s="1208"/>
      <c r="I11" s="1209"/>
      <c r="J11" s="200"/>
      <c r="K11" s="1211" t="str">
        <f t="shared" si="1"/>
        <v>TOTAL AREA</v>
      </c>
      <c r="L11" s="1211"/>
      <c r="M11" s="194" t="s">
        <v>5</v>
      </c>
      <c r="N11" s="1217">
        <f t="shared" si="0"/>
        <v>13.5</v>
      </c>
      <c r="O11" s="1218"/>
      <c r="P11" s="1219" t="s">
        <v>11</v>
      </c>
      <c r="Q11" s="1220"/>
    </row>
    <row r="12" spans="1:50" ht="12.5" x14ac:dyDescent="0.25">
      <c r="A12" s="123"/>
      <c r="B12" s="123"/>
      <c r="C12" s="272"/>
      <c r="D12" s="194"/>
      <c r="E12" s="200"/>
      <c r="F12" s="397"/>
      <c r="G12" s="397"/>
      <c r="H12" s="398"/>
      <c r="I12" s="399"/>
      <c r="J12" s="200"/>
      <c r="K12" s="123"/>
      <c r="L12" s="123"/>
      <c r="M12" s="259"/>
      <c r="N12" s="123"/>
      <c r="O12" s="123"/>
      <c r="P12" s="123"/>
      <c r="Q12" s="123"/>
    </row>
    <row r="13" spans="1:50" ht="15" customHeight="1" x14ac:dyDescent="0.25">
      <c r="A13" s="123"/>
      <c r="B13" s="198" t="s">
        <v>16</v>
      </c>
      <c r="C13" s="198"/>
      <c r="D13" s="400" t="s">
        <v>5</v>
      </c>
      <c r="E13" s="401"/>
      <c r="F13" s="1250">
        <f>VLOOKUP(E8,'Pricelist Link'!A6:AC240,8,FALSE)</f>
        <v>832787.56226250005</v>
      </c>
      <c r="G13" s="1250"/>
      <c r="H13" s="1250"/>
      <c r="I13" s="1251"/>
      <c r="J13" s="200"/>
      <c r="K13" s="1221" t="s">
        <v>12</v>
      </c>
      <c r="L13" s="1221"/>
      <c r="M13" s="1222" t="s">
        <v>13</v>
      </c>
      <c r="N13" s="1221" t="s">
        <v>14</v>
      </c>
      <c r="O13" s="1221"/>
      <c r="P13" s="1224" t="s">
        <v>15</v>
      </c>
      <c r="Q13" s="1225"/>
    </row>
    <row r="14" spans="1:50" ht="12.5" x14ac:dyDescent="0.25">
      <c r="A14" s="123"/>
      <c r="B14" s="213" t="s">
        <v>167</v>
      </c>
      <c r="C14" s="393"/>
      <c r="D14" s="402" t="s">
        <v>5</v>
      </c>
      <c r="E14" s="403"/>
      <c r="F14" s="1252">
        <f>SUM(FORM!V19:V21)+SUM(FORM!V25:V27)</f>
        <v>0</v>
      </c>
      <c r="G14" s="1252"/>
      <c r="H14" s="1252"/>
      <c r="I14" s="1253"/>
      <c r="J14" s="125"/>
      <c r="K14" s="1221"/>
      <c r="L14" s="1221"/>
      <c r="M14" s="1222"/>
      <c r="N14" s="1221"/>
      <c r="O14" s="1221"/>
      <c r="P14" s="1226"/>
      <c r="Q14" s="1227"/>
    </row>
    <row r="15" spans="1:50" ht="12.5" x14ac:dyDescent="0.25">
      <c r="A15" s="123"/>
      <c r="B15" s="171" t="s">
        <v>19</v>
      </c>
      <c r="C15" s="130"/>
      <c r="D15" s="200" t="s">
        <v>5</v>
      </c>
      <c r="E15" s="401"/>
      <c r="F15" s="1254">
        <f>F13-F14</f>
        <v>832787.56226250005</v>
      </c>
      <c r="G15" s="1254"/>
      <c r="H15" s="1254"/>
      <c r="I15" s="1255"/>
      <c r="J15" s="125"/>
      <c r="K15" s="1205" t="s">
        <v>17</v>
      </c>
      <c r="L15" s="1205"/>
      <c r="M15" s="404">
        <f>C2</f>
        <v>45901</v>
      </c>
      <c r="N15" s="1223">
        <f>F23</f>
        <v>10000</v>
      </c>
      <c r="O15" s="1223"/>
      <c r="P15" s="1189"/>
      <c r="Q15" s="1190"/>
      <c r="W15" s="406">
        <f>M15</f>
        <v>45901</v>
      </c>
      <c r="X15" s="406">
        <f>EDATE(W15,E26)</f>
        <v>45931</v>
      </c>
    </row>
    <row r="16" spans="1:50" ht="13" x14ac:dyDescent="0.3">
      <c r="A16" s="123"/>
      <c r="B16" s="210"/>
      <c r="C16" s="272"/>
      <c r="D16" s="194"/>
      <c r="E16" s="125"/>
      <c r="F16" s="407"/>
      <c r="G16" s="408"/>
      <c r="H16" s="409"/>
      <c r="I16" s="409"/>
      <c r="J16" s="125"/>
      <c r="K16" s="1205" t="str">
        <f t="shared" ref="K16:K61" si="2">IF(N16&gt;1,T16,0)</f>
        <v>1st EQUITY PAYMENT</v>
      </c>
      <c r="L16" s="1205"/>
      <c r="M16" s="404">
        <f t="shared" ref="M16:M69" si="3">IF(N16&gt;1,W16,"")</f>
        <v>45935</v>
      </c>
      <c r="N16" s="1223">
        <f>IF(E26&gt;0,F26,"")</f>
        <v>142400.1238940375</v>
      </c>
      <c r="O16" s="1223"/>
      <c r="P16" s="1189"/>
      <c r="Q16" s="1190"/>
      <c r="T16" s="1185" t="s">
        <v>20</v>
      </c>
      <c r="U16" s="1185"/>
      <c r="W16" s="404">
        <f>IF(DAY(W15)=31,Y18,AA18)</f>
        <v>45935</v>
      </c>
      <c r="X16" s="33"/>
      <c r="Y16" s="1186" t="s">
        <v>228</v>
      </c>
      <c r="Z16" s="1186"/>
      <c r="AA16" s="33"/>
    </row>
    <row r="17" spans="1:50" ht="12.5" x14ac:dyDescent="0.25">
      <c r="A17" s="260"/>
      <c r="B17" s="213" t="s">
        <v>23</v>
      </c>
      <c r="C17" s="393"/>
      <c r="D17" s="402" t="s">
        <v>5</v>
      </c>
      <c r="E17" s="512">
        <v>0.12</v>
      </c>
      <c r="F17" s="1252">
        <f>E17*F15</f>
        <v>99934.507471500008</v>
      </c>
      <c r="G17" s="1252"/>
      <c r="H17" s="1252"/>
      <c r="I17" s="1253"/>
      <c r="J17" s="125"/>
      <c r="K17" s="1205">
        <f t="shared" si="2"/>
        <v>0</v>
      </c>
      <c r="L17" s="1205"/>
      <c r="M17" s="404" t="str">
        <f t="shared" si="3"/>
        <v/>
      </c>
      <c r="N17" s="1223">
        <f>IF(E26&gt;1,F26,0)</f>
        <v>0</v>
      </c>
      <c r="O17" s="1223"/>
      <c r="P17" s="1189"/>
      <c r="Q17" s="1190"/>
      <c r="T17" s="1185" t="s">
        <v>21</v>
      </c>
      <c r="U17" s="1185"/>
      <c r="W17" s="404">
        <f t="shared" ref="W17:W59" si="4">IF(AND(DAY(W16)&gt;=6,DAY(W16)&lt;=20),DATE(YEAR(W16),MONTH(W16)+1,DAY(20)),IF(AND(DAY(W16)&gt;=21,DAY(W16)&lt;=30),DATE(YEAR(W16),MONTH(W16)+1,IF(DAY(EOMONTH(W16,1))&lt;30,DAY(EOMONTH(W16,1)),DAY(30))),DATE(YEAR(W16),MONTH(W16)+1,DAY(5))))</f>
        <v>45966</v>
      </c>
      <c r="X17" s="69" t="s">
        <v>229</v>
      </c>
      <c r="Y17" s="1187" t="b">
        <f>IF(DAY(W15)=31,DATE(YEAR(X15),MONTH(X15)+2,DAY(5)))</f>
        <v>0</v>
      </c>
      <c r="Z17" s="1188"/>
      <c r="AA17" s="523">
        <f>IF(AND(DAY(X15)&gt;=6,DAY(X15)&lt;=20),DATE(YEAR(X15),MONTH(X15)+1,DAY(20)),IF(AND(DAY(X15)&gt;=21,DAY(X15)&lt;=31),DATE(YEAR(X15),MONTH(X15)+1,IF(DAY(EOMONTH(X15,1))&lt;30,DAY(EOMONTH(X15,1)),DAY(30))),DATE(YEAR(X15),MONTH(X15)+1,DAY(5))))</f>
        <v>45966</v>
      </c>
    </row>
    <row r="18" spans="1:50" ht="12.5" x14ac:dyDescent="0.25">
      <c r="A18" s="261"/>
      <c r="B18" s="410" t="s">
        <v>25</v>
      </c>
      <c r="C18" s="130"/>
      <c r="D18" s="194" t="s">
        <v>5</v>
      </c>
      <c r="E18" s="214">
        <v>0.1</v>
      </c>
      <c r="F18" s="1256">
        <f>E18*F13</f>
        <v>83278.756226250014</v>
      </c>
      <c r="G18" s="1257"/>
      <c r="H18" s="1257"/>
      <c r="I18" s="1258"/>
      <c r="J18" s="125"/>
      <c r="K18" s="1205">
        <f t="shared" si="2"/>
        <v>0</v>
      </c>
      <c r="L18" s="1205"/>
      <c r="M18" s="404" t="str">
        <f t="shared" si="3"/>
        <v/>
      </c>
      <c r="N18" s="1223">
        <f>IF(E26&gt;2,F26,0)</f>
        <v>0</v>
      </c>
      <c r="O18" s="1223"/>
      <c r="P18" s="1189"/>
      <c r="Q18" s="1190"/>
      <c r="T18" s="1185" t="s">
        <v>22</v>
      </c>
      <c r="U18" s="1185"/>
      <c r="W18" s="404">
        <f t="shared" si="4"/>
        <v>45996</v>
      </c>
      <c r="X18" s="69" t="s">
        <v>230</v>
      </c>
      <c r="Y18" s="1187" t="b">
        <f>IF(DAY(W15)=31,DATE(YEAR(W15),MONTH(W15)+2,DAY(5)))</f>
        <v>0</v>
      </c>
      <c r="Z18" s="1188"/>
      <c r="AA18" s="523">
        <f>IF(AND(DAY(W15)&gt;=6,DAY(W15)&lt;=20),DATE(YEAR(W15),MONTH(W15)+1,DAY(20)),IF(AND(DAY(W15)&gt;=21,DAY(W15)&lt;=30),DATE(YEAR(W15),MONTH(W15)+1,IF(DAY(EOMONTH(W15,1))&lt;31,DAY(EOMONTH(W15,1)),DAY(30))),DATE(YEAR(W15),MONTH(W15)+1,DAY(5))))</f>
        <v>45935</v>
      </c>
      <c r="AX18" s="122"/>
    </row>
    <row r="19" spans="1:50" ht="12.5" x14ac:dyDescent="0.25">
      <c r="A19" s="123"/>
      <c r="B19" s="210"/>
      <c r="C19" s="125"/>
      <c r="D19" s="194"/>
      <c r="E19" s="200"/>
      <c r="F19" s="407"/>
      <c r="G19" s="407"/>
      <c r="H19" s="407"/>
      <c r="I19" s="407"/>
      <c r="J19" s="125"/>
      <c r="K19" s="1205">
        <f t="shared" si="2"/>
        <v>0</v>
      </c>
      <c r="L19" s="1205"/>
      <c r="M19" s="404" t="str">
        <f t="shared" si="3"/>
        <v/>
      </c>
      <c r="N19" s="1223">
        <f>IF(E26&gt;3,F26,0)</f>
        <v>0</v>
      </c>
      <c r="O19" s="1223"/>
      <c r="P19" s="1189"/>
      <c r="Q19" s="1190"/>
      <c r="T19" s="1185" t="s">
        <v>24</v>
      </c>
      <c r="U19" s="1185"/>
      <c r="W19" s="404">
        <f t="shared" si="4"/>
        <v>46027</v>
      </c>
      <c r="AX19" s="122"/>
    </row>
    <row r="20" spans="1:50" ht="12.5" x14ac:dyDescent="0.25">
      <c r="A20" s="123"/>
      <c r="B20" s="171" t="s">
        <v>28</v>
      </c>
      <c r="C20" s="130"/>
      <c r="D20" s="200" t="s">
        <v>5</v>
      </c>
      <c r="E20" s="411"/>
      <c r="F20" s="1229">
        <f>F15+F17+F18</f>
        <v>1016000.82596025</v>
      </c>
      <c r="G20" s="1230"/>
      <c r="H20" s="1230"/>
      <c r="I20" s="1231"/>
      <c r="J20" s="125"/>
      <c r="K20" s="1205">
        <f t="shared" si="2"/>
        <v>0</v>
      </c>
      <c r="L20" s="1205"/>
      <c r="M20" s="404" t="str">
        <f t="shared" si="3"/>
        <v/>
      </c>
      <c r="N20" s="1223">
        <f>IF(E26&gt;4,F26,0)</f>
        <v>0</v>
      </c>
      <c r="O20" s="1223"/>
      <c r="P20" s="1189"/>
      <c r="Q20" s="1190"/>
      <c r="T20" s="1185" t="s">
        <v>26</v>
      </c>
      <c r="U20" s="1185"/>
      <c r="W20" s="404">
        <f t="shared" si="4"/>
        <v>46058</v>
      </c>
      <c r="AX20" s="122"/>
    </row>
    <row r="21" spans="1:50" ht="12.5" x14ac:dyDescent="0.25">
      <c r="A21" s="123"/>
      <c r="B21" s="210"/>
      <c r="C21" s="125"/>
      <c r="D21" s="194"/>
      <c r="E21" s="200"/>
      <c r="F21" s="407"/>
      <c r="G21" s="412"/>
      <c r="H21" s="412"/>
      <c r="I21" s="412"/>
      <c r="J21" s="125"/>
      <c r="K21" s="1205">
        <f t="shared" si="2"/>
        <v>0</v>
      </c>
      <c r="L21" s="1205"/>
      <c r="M21" s="404" t="str">
        <f t="shared" si="3"/>
        <v/>
      </c>
      <c r="N21" s="1223">
        <f>IF(E26&gt;5,F26,0)</f>
        <v>0</v>
      </c>
      <c r="O21" s="1223"/>
      <c r="P21" s="1189"/>
      <c r="Q21" s="1190"/>
      <c r="T21" s="1185" t="s">
        <v>27</v>
      </c>
      <c r="U21" s="1185"/>
      <c r="W21" s="404">
        <f t="shared" si="4"/>
        <v>46086</v>
      </c>
      <c r="AX21" s="122"/>
    </row>
    <row r="22" spans="1:50" ht="12.5" x14ac:dyDescent="0.25">
      <c r="A22" s="123"/>
      <c r="B22" s="198" t="s">
        <v>32</v>
      </c>
      <c r="C22" s="392"/>
      <c r="D22" s="400" t="s">
        <v>5</v>
      </c>
      <c r="E22" s="510">
        <f>FORM!I24</f>
        <v>0.15</v>
      </c>
      <c r="F22" s="1229">
        <f>F20*E22</f>
        <v>152400.1238940375</v>
      </c>
      <c r="G22" s="1230"/>
      <c r="H22" s="1230"/>
      <c r="I22" s="1231"/>
      <c r="J22" s="125"/>
      <c r="K22" s="1205">
        <f t="shared" si="2"/>
        <v>0</v>
      </c>
      <c r="L22" s="1205"/>
      <c r="M22" s="404" t="str">
        <f t="shared" si="3"/>
        <v/>
      </c>
      <c r="N22" s="1223">
        <f>IF(E26&gt;6,F26,0)</f>
        <v>0</v>
      </c>
      <c r="O22" s="1223"/>
      <c r="P22" s="1189"/>
      <c r="Q22" s="1190"/>
      <c r="T22" s="1185" t="s">
        <v>29</v>
      </c>
      <c r="U22" s="1185"/>
      <c r="W22" s="404">
        <f t="shared" si="4"/>
        <v>46117</v>
      </c>
      <c r="AX22" s="122"/>
    </row>
    <row r="23" spans="1:50" ht="12.5" x14ac:dyDescent="0.25">
      <c r="A23" s="123"/>
      <c r="B23" s="204" t="s">
        <v>224</v>
      </c>
      <c r="C23" s="393"/>
      <c r="D23" s="194" t="s">
        <v>5</v>
      </c>
      <c r="E23" s="414"/>
      <c r="F23" s="375">
        <f>FORM!I22</f>
        <v>10000</v>
      </c>
      <c r="G23" s="415"/>
      <c r="H23" s="416"/>
      <c r="I23" s="417"/>
      <c r="J23" s="125"/>
      <c r="K23" s="1205">
        <f t="shared" si="2"/>
        <v>0</v>
      </c>
      <c r="L23" s="1205"/>
      <c r="M23" s="404" t="str">
        <f t="shared" si="3"/>
        <v/>
      </c>
      <c r="N23" s="1223">
        <f>IF(E26&gt;7,F26,0)</f>
        <v>0</v>
      </c>
      <c r="O23" s="1223"/>
      <c r="P23" s="1189"/>
      <c r="Q23" s="1190"/>
      <c r="T23" s="1185" t="s">
        <v>30</v>
      </c>
      <c r="U23" s="1185"/>
      <c r="W23" s="404">
        <f t="shared" si="4"/>
        <v>46147</v>
      </c>
      <c r="AX23" s="122"/>
    </row>
    <row r="24" spans="1:50" ht="12.5" x14ac:dyDescent="0.25">
      <c r="A24" s="260"/>
      <c r="B24" s="171" t="s">
        <v>36</v>
      </c>
      <c r="C24" s="166"/>
      <c r="D24" s="200" t="s">
        <v>5</v>
      </c>
      <c r="E24" s="414"/>
      <c r="F24" s="1229">
        <f>F22-F23</f>
        <v>142400.1238940375</v>
      </c>
      <c r="G24" s="1230"/>
      <c r="H24" s="1230"/>
      <c r="I24" s="1231"/>
      <c r="J24" s="125"/>
      <c r="K24" s="1205">
        <f t="shared" si="2"/>
        <v>0</v>
      </c>
      <c r="L24" s="1205"/>
      <c r="M24" s="404" t="str">
        <f t="shared" si="3"/>
        <v/>
      </c>
      <c r="N24" s="1223">
        <f>IF(E26&gt;8,F26,0)</f>
        <v>0</v>
      </c>
      <c r="O24" s="1223"/>
      <c r="P24" s="1189"/>
      <c r="Q24" s="1190"/>
      <c r="T24" s="1185" t="s">
        <v>31</v>
      </c>
      <c r="U24" s="1185"/>
      <c r="W24" s="404">
        <f t="shared" si="4"/>
        <v>46178</v>
      </c>
      <c r="AX24" s="122"/>
    </row>
    <row r="25" spans="1:50" ht="12.5" x14ac:dyDescent="0.25">
      <c r="A25" s="123"/>
      <c r="B25" s="210"/>
      <c r="C25" s="125"/>
      <c r="D25" s="194"/>
      <c r="E25" s="200"/>
      <c r="F25" s="407"/>
      <c r="G25" s="412"/>
      <c r="H25" s="412"/>
      <c r="I25" s="412"/>
      <c r="J25" s="125"/>
      <c r="K25" s="1205">
        <f t="shared" si="2"/>
        <v>0</v>
      </c>
      <c r="L25" s="1205"/>
      <c r="M25" s="404" t="str">
        <f t="shared" si="3"/>
        <v/>
      </c>
      <c r="N25" s="1223">
        <f>IF(E26&gt;9,F26,0)</f>
        <v>0</v>
      </c>
      <c r="O25" s="1223"/>
      <c r="P25" s="1189"/>
      <c r="Q25" s="1190"/>
      <c r="T25" s="1185" t="s">
        <v>33</v>
      </c>
      <c r="U25" s="1185"/>
      <c r="W25" s="404">
        <f t="shared" si="4"/>
        <v>46208</v>
      </c>
      <c r="AX25" s="122"/>
    </row>
    <row r="26" spans="1:50" ht="12.5" x14ac:dyDescent="0.25">
      <c r="A26" s="123"/>
      <c r="B26" s="1259" t="s">
        <v>40</v>
      </c>
      <c r="C26" s="1259"/>
      <c r="D26" s="200" t="s">
        <v>5</v>
      </c>
      <c r="E26" s="418">
        <f>VLOOKUP(E8,'Pricelist Link'!A6:AC240,16,FALSE)</f>
        <v>1</v>
      </c>
      <c r="F26" s="1229">
        <f>F24/E26</f>
        <v>142400.1238940375</v>
      </c>
      <c r="G26" s="1230"/>
      <c r="H26" s="1230"/>
      <c r="I26" s="1231"/>
      <c r="J26" s="125"/>
      <c r="K26" s="1205">
        <f t="shared" si="2"/>
        <v>0</v>
      </c>
      <c r="L26" s="1205"/>
      <c r="M26" s="404" t="str">
        <f t="shared" si="3"/>
        <v/>
      </c>
      <c r="N26" s="1223">
        <f>IF(E26&gt;10,F26,0)</f>
        <v>0</v>
      </c>
      <c r="O26" s="1223"/>
      <c r="P26" s="1189"/>
      <c r="Q26" s="1190"/>
      <c r="T26" s="1185" t="s">
        <v>34</v>
      </c>
      <c r="U26" s="1185"/>
      <c r="W26" s="404">
        <f t="shared" si="4"/>
        <v>46239</v>
      </c>
      <c r="AX26" s="122"/>
    </row>
    <row r="27" spans="1:50" ht="12.5" x14ac:dyDescent="0.25">
      <c r="A27" s="262"/>
      <c r="B27" s="123"/>
      <c r="C27" s="272"/>
      <c r="D27" s="194"/>
      <c r="E27" s="419"/>
      <c r="F27" s="407"/>
      <c r="G27" s="407"/>
      <c r="H27" s="407"/>
      <c r="I27" s="407"/>
      <c r="J27" s="125"/>
      <c r="K27" s="1205">
        <f t="shared" si="2"/>
        <v>0</v>
      </c>
      <c r="L27" s="1205"/>
      <c r="M27" s="404" t="str">
        <f t="shared" si="3"/>
        <v/>
      </c>
      <c r="N27" s="1228">
        <f>IF(E26&gt;11,F26,0)</f>
        <v>0</v>
      </c>
      <c r="O27" s="1228"/>
      <c r="P27" s="1189"/>
      <c r="Q27" s="1190"/>
      <c r="T27" s="1185" t="s">
        <v>35</v>
      </c>
      <c r="U27" s="1185"/>
      <c r="W27" s="404">
        <f t="shared" si="4"/>
        <v>46270</v>
      </c>
      <c r="AX27" s="122"/>
    </row>
    <row r="28" spans="1:50" ht="12.5" x14ac:dyDescent="0.25">
      <c r="A28" s="123"/>
      <c r="B28" s="171" t="s">
        <v>44</v>
      </c>
      <c r="C28" s="171"/>
      <c r="D28" s="200" t="s">
        <v>5</v>
      </c>
      <c r="E28" s="413">
        <f>100%-E22</f>
        <v>0.85</v>
      </c>
      <c r="F28" s="1229">
        <f>F20*E28</f>
        <v>863600.70206621243</v>
      </c>
      <c r="G28" s="1230"/>
      <c r="H28" s="1230"/>
      <c r="I28" s="1231"/>
      <c r="J28" s="125"/>
      <c r="K28" s="1205">
        <f t="shared" si="2"/>
        <v>0</v>
      </c>
      <c r="L28" s="1205"/>
      <c r="M28" s="404" t="str">
        <f t="shared" si="3"/>
        <v/>
      </c>
      <c r="N28" s="1228">
        <f>IF(E26&gt;12,F26,0)</f>
        <v>0</v>
      </c>
      <c r="O28" s="1228"/>
      <c r="P28" s="1189"/>
      <c r="Q28" s="1190"/>
      <c r="T28" s="1185" t="s">
        <v>37</v>
      </c>
      <c r="U28" s="1185"/>
      <c r="W28" s="404">
        <f t="shared" si="4"/>
        <v>46300</v>
      </c>
      <c r="AX28" s="122"/>
    </row>
    <row r="29" spans="1:50" ht="12.5" x14ac:dyDescent="0.25">
      <c r="A29" s="123"/>
      <c r="B29" s="123"/>
      <c r="C29" s="272"/>
      <c r="D29" s="419"/>
      <c r="E29" s="419"/>
      <c r="F29" s="419"/>
      <c r="G29" s="420"/>
      <c r="H29" s="420"/>
      <c r="I29" s="420"/>
      <c r="J29" s="125"/>
      <c r="K29" s="1205">
        <f t="shared" si="2"/>
        <v>0</v>
      </c>
      <c r="L29" s="1205"/>
      <c r="M29" s="404" t="str">
        <f t="shared" si="3"/>
        <v/>
      </c>
      <c r="N29" s="1228">
        <f>IF(E26&gt;13,F26,0)</f>
        <v>0</v>
      </c>
      <c r="O29" s="1228"/>
      <c r="P29" s="1189"/>
      <c r="Q29" s="1190"/>
      <c r="T29" s="1185" t="s">
        <v>38</v>
      </c>
      <c r="U29" s="1185"/>
      <c r="W29" s="404">
        <f t="shared" si="4"/>
        <v>46331</v>
      </c>
      <c r="AX29" s="122"/>
    </row>
    <row r="30" spans="1:50" ht="12.5" x14ac:dyDescent="0.25">
      <c r="A30" s="123"/>
      <c r="B30" s="130" t="s">
        <v>48</v>
      </c>
      <c r="C30" s="410"/>
      <c r="D30" s="421"/>
      <c r="E30" s="422"/>
      <c r="F30" s="419"/>
      <c r="G30" s="420"/>
      <c r="H30" s="420"/>
      <c r="I30" s="420"/>
      <c r="J30" s="273"/>
      <c r="K30" s="1205">
        <f t="shared" si="2"/>
        <v>0</v>
      </c>
      <c r="L30" s="1205"/>
      <c r="M30" s="404" t="str">
        <f t="shared" si="3"/>
        <v/>
      </c>
      <c r="N30" s="1228">
        <f>IF(E26&gt;14,F26,0)</f>
        <v>0</v>
      </c>
      <c r="O30" s="1228"/>
      <c r="P30" s="1189"/>
      <c r="Q30" s="1190"/>
      <c r="T30" s="1185" t="s">
        <v>39</v>
      </c>
      <c r="U30" s="1185"/>
      <c r="W30" s="404">
        <f t="shared" si="4"/>
        <v>46361</v>
      </c>
      <c r="AX30" s="122"/>
    </row>
    <row r="31" spans="1:50" ht="12.5" x14ac:dyDescent="0.25">
      <c r="A31" s="123"/>
      <c r="B31" s="123"/>
      <c r="C31" s="272"/>
      <c r="D31" s="272"/>
      <c r="E31" s="423"/>
      <c r="F31" s="267"/>
      <c r="G31" s="267"/>
      <c r="H31" s="267"/>
      <c r="I31" s="267"/>
      <c r="J31" s="200"/>
      <c r="K31" s="1205">
        <f t="shared" si="2"/>
        <v>0</v>
      </c>
      <c r="L31" s="1205"/>
      <c r="M31" s="404" t="str">
        <f t="shared" si="3"/>
        <v/>
      </c>
      <c r="N31" s="1228">
        <f>IF(E26&gt;15,F26,0)</f>
        <v>0</v>
      </c>
      <c r="O31" s="1228"/>
      <c r="P31" s="1189"/>
      <c r="Q31" s="1190"/>
      <c r="T31" s="1185" t="s">
        <v>41</v>
      </c>
      <c r="U31" s="1185"/>
      <c r="W31" s="404">
        <f t="shared" si="4"/>
        <v>46392</v>
      </c>
      <c r="AX31" s="122"/>
    </row>
    <row r="32" spans="1:50" ht="12.5" x14ac:dyDescent="0.25">
      <c r="A32" s="123"/>
      <c r="B32" s="373" t="s">
        <v>51</v>
      </c>
      <c r="C32" s="373" t="s">
        <v>52</v>
      </c>
      <c r="D32" s="373" t="s">
        <v>53</v>
      </c>
      <c r="E32" s="373" t="s">
        <v>54</v>
      </c>
      <c r="F32" s="1221" t="s">
        <v>55</v>
      </c>
      <c r="G32" s="1221"/>
      <c r="H32" s="1221"/>
      <c r="I32" s="1221"/>
      <c r="J32" s="272"/>
      <c r="K32" s="1205">
        <f t="shared" si="2"/>
        <v>0</v>
      </c>
      <c r="L32" s="1205"/>
      <c r="M32" s="404" t="str">
        <f t="shared" si="3"/>
        <v/>
      </c>
      <c r="N32" s="1228">
        <f>IF(E26&gt;16,F26,0)</f>
        <v>0</v>
      </c>
      <c r="O32" s="1228"/>
      <c r="P32" s="1189"/>
      <c r="Q32" s="1190"/>
      <c r="T32" s="1185" t="s">
        <v>42</v>
      </c>
      <c r="U32" s="1185"/>
      <c r="W32" s="404">
        <f t="shared" si="4"/>
        <v>46423</v>
      </c>
      <c r="AX32" s="122"/>
    </row>
    <row r="33" spans="1:50" ht="12.5" x14ac:dyDescent="0.25">
      <c r="A33" s="123"/>
      <c r="B33" s="424">
        <v>5</v>
      </c>
      <c r="C33" s="760">
        <v>7.0000000000000007E-2</v>
      </c>
      <c r="D33" s="425">
        <f>PMT(C33/12,B33*12,-1)</f>
        <v>1.9801198540349535E-2</v>
      </c>
      <c r="E33" s="426">
        <f>F28*D33</f>
        <v>17100.32896119832</v>
      </c>
      <c r="F33" s="1223">
        <f>E33/0.3</f>
        <v>57001.096537327736</v>
      </c>
      <c r="G33" s="1223"/>
      <c r="H33" s="1223"/>
      <c r="I33" s="1223"/>
      <c r="J33" s="125"/>
      <c r="K33" s="1205">
        <f t="shared" si="2"/>
        <v>0</v>
      </c>
      <c r="L33" s="1205"/>
      <c r="M33" s="404" t="str">
        <f t="shared" si="3"/>
        <v/>
      </c>
      <c r="N33" s="1228">
        <f>IF(E26&gt;17,F26,0)</f>
        <v>0</v>
      </c>
      <c r="O33" s="1228"/>
      <c r="P33" s="1189"/>
      <c r="Q33" s="1190"/>
      <c r="T33" s="1185" t="s">
        <v>43</v>
      </c>
      <c r="U33" s="1185"/>
      <c r="W33" s="404">
        <f t="shared" si="4"/>
        <v>46451</v>
      </c>
      <c r="AX33" s="122"/>
    </row>
    <row r="34" spans="1:50" ht="12.5" x14ac:dyDescent="0.25">
      <c r="A34" s="123"/>
      <c r="B34" s="424">
        <v>10</v>
      </c>
      <c r="C34" s="760">
        <v>7.0000000000000007E-2</v>
      </c>
      <c r="D34" s="425">
        <f>PMT(C34/12,B34*12,-1)</f>
        <v>1.1610847921862406E-2</v>
      </c>
      <c r="E34" s="426">
        <f>F28*D34</f>
        <v>10027.136416904397</v>
      </c>
      <c r="F34" s="1223">
        <f t="shared" ref="F34" si="5">E34/0.3</f>
        <v>33423.788056347992</v>
      </c>
      <c r="G34" s="1223"/>
      <c r="H34" s="1223"/>
      <c r="I34" s="1223"/>
      <c r="J34" s="125"/>
      <c r="K34" s="1205">
        <f t="shared" si="2"/>
        <v>0</v>
      </c>
      <c r="L34" s="1205"/>
      <c r="M34" s="404" t="str">
        <f t="shared" si="3"/>
        <v/>
      </c>
      <c r="N34" s="1228">
        <f>IF(E26&gt;18,F26,0)</f>
        <v>0</v>
      </c>
      <c r="O34" s="1228"/>
      <c r="P34" s="1189"/>
      <c r="Q34" s="1190"/>
      <c r="T34" s="1185" t="s">
        <v>45</v>
      </c>
      <c r="U34" s="1185"/>
      <c r="W34" s="404">
        <f t="shared" si="4"/>
        <v>46482</v>
      </c>
      <c r="AX34" s="122"/>
    </row>
    <row r="35" spans="1:50" ht="12.5" x14ac:dyDescent="0.25">
      <c r="A35" s="123"/>
      <c r="B35" s="424">
        <v>15</v>
      </c>
      <c r="C35" s="760">
        <v>7.0000000000000007E-2</v>
      </c>
      <c r="D35" s="425">
        <f t="shared" ref="D35" si="6">PMT(C35/12,B35*12,-1)</f>
        <v>8.988282708524269E-3</v>
      </c>
      <c r="E35" s="426">
        <f>F28*D35</f>
        <v>7762.2872574511557</v>
      </c>
      <c r="F35" s="1223">
        <f>E35/0.3</f>
        <v>25874.29085817052</v>
      </c>
      <c r="G35" s="1223"/>
      <c r="H35" s="1223"/>
      <c r="I35" s="1223"/>
      <c r="J35" s="125"/>
      <c r="K35" s="1205">
        <f t="shared" si="2"/>
        <v>0</v>
      </c>
      <c r="L35" s="1205"/>
      <c r="M35" s="404" t="str">
        <f t="shared" si="3"/>
        <v/>
      </c>
      <c r="N35" s="1228">
        <f>IF(E26&gt;19,F26,0)</f>
        <v>0</v>
      </c>
      <c r="O35" s="1228"/>
      <c r="P35" s="1189"/>
      <c r="Q35" s="1190"/>
      <c r="T35" s="1185" t="s">
        <v>46</v>
      </c>
      <c r="U35" s="1185"/>
      <c r="W35" s="404">
        <f t="shared" si="4"/>
        <v>46512</v>
      </c>
      <c r="AX35" s="122"/>
    </row>
    <row r="36" spans="1:50" ht="12.5" x14ac:dyDescent="0.25">
      <c r="A36" s="123"/>
      <c r="B36" s="424">
        <v>20</v>
      </c>
      <c r="C36" s="760">
        <v>7.0000000000000007E-2</v>
      </c>
      <c r="D36" s="425">
        <f t="shared" ref="D36" si="7">PMT(C36/12,B36*12,-1)</f>
        <v>7.7529893561887461E-3</v>
      </c>
      <c r="E36" s="426">
        <f>F28*D36</f>
        <v>6695.4870511164736</v>
      </c>
      <c r="F36" s="1223">
        <f>E36/0.3</f>
        <v>22318.290170388245</v>
      </c>
      <c r="G36" s="1223"/>
      <c r="H36" s="1223"/>
      <c r="I36" s="1223"/>
      <c r="J36" s="125"/>
      <c r="K36" s="1205">
        <f t="shared" si="2"/>
        <v>0</v>
      </c>
      <c r="L36" s="1205"/>
      <c r="M36" s="404" t="str">
        <f t="shared" si="3"/>
        <v/>
      </c>
      <c r="N36" s="1228">
        <f>IF(E26&gt;20,F26,0)</f>
        <v>0</v>
      </c>
      <c r="O36" s="1228"/>
      <c r="P36" s="1189"/>
      <c r="Q36" s="1190"/>
      <c r="T36" s="1185" t="s">
        <v>47</v>
      </c>
      <c r="U36" s="1185"/>
      <c r="W36" s="404">
        <f t="shared" si="4"/>
        <v>46543</v>
      </c>
      <c r="AX36" s="122"/>
    </row>
    <row r="37" spans="1:50" ht="12.5" x14ac:dyDescent="0.25">
      <c r="A37" s="123"/>
      <c r="B37" s="354" t="s">
        <v>415</v>
      </c>
      <c r="C37" s="263"/>
      <c r="D37" s="264"/>
      <c r="E37" s="265"/>
      <c r="F37" s="1249"/>
      <c r="G37" s="1249"/>
      <c r="H37" s="374"/>
      <c r="I37" s="123"/>
      <c r="J37" s="125"/>
      <c r="K37" s="1205">
        <f t="shared" si="2"/>
        <v>0</v>
      </c>
      <c r="L37" s="1205"/>
      <c r="M37" s="404" t="str">
        <f t="shared" si="3"/>
        <v/>
      </c>
      <c r="N37" s="1228">
        <f>IF(E26&gt;21,F26,0)</f>
        <v>0</v>
      </c>
      <c r="O37" s="1228"/>
      <c r="P37" s="1189"/>
      <c r="Q37" s="1190"/>
      <c r="T37" s="1185" t="s">
        <v>49</v>
      </c>
      <c r="U37" s="1185"/>
      <c r="W37" s="404">
        <f t="shared" si="4"/>
        <v>46573</v>
      </c>
      <c r="AX37" s="122"/>
    </row>
    <row r="38" spans="1:50" ht="12.5" x14ac:dyDescent="0.25">
      <c r="A38" s="123"/>
      <c r="B38" s="354" t="s">
        <v>427</v>
      </c>
      <c r="C38" s="428"/>
      <c r="D38" s="194"/>
      <c r="E38" s="123"/>
      <c r="F38" s="123"/>
      <c r="G38" s="123"/>
      <c r="H38" s="123"/>
      <c r="I38" s="123"/>
      <c r="J38" s="125"/>
      <c r="K38" s="1205">
        <f t="shared" si="2"/>
        <v>0</v>
      </c>
      <c r="L38" s="1205"/>
      <c r="M38" s="404" t="str">
        <f t="shared" si="3"/>
        <v/>
      </c>
      <c r="N38" s="1228">
        <f>IF(E26&gt;22,F26,0)</f>
        <v>0</v>
      </c>
      <c r="O38" s="1228"/>
      <c r="P38" s="1189"/>
      <c r="Q38" s="1190"/>
      <c r="T38" s="1185" t="s">
        <v>50</v>
      </c>
      <c r="U38" s="1185"/>
      <c r="W38" s="404">
        <f t="shared" si="4"/>
        <v>46604</v>
      </c>
      <c r="AN38" s="427">
        <v>3128865.99</v>
      </c>
      <c r="AX38" s="122"/>
    </row>
    <row r="39" spans="1:50" ht="12.5" x14ac:dyDescent="0.25">
      <c r="A39" s="123"/>
      <c r="B39" s="245" t="s">
        <v>63</v>
      </c>
      <c r="C39" s="123"/>
      <c r="D39" s="194"/>
      <c r="E39" s="123"/>
      <c r="F39" s="123"/>
      <c r="G39" s="123"/>
      <c r="H39" s="123"/>
      <c r="I39" s="123"/>
      <c r="J39" s="125"/>
      <c r="K39" s="1205">
        <f t="shared" si="2"/>
        <v>0</v>
      </c>
      <c r="L39" s="1205"/>
      <c r="M39" s="404" t="str">
        <f t="shared" si="3"/>
        <v/>
      </c>
      <c r="N39" s="1228">
        <f>IF(E26&gt;24,F26,0)</f>
        <v>0</v>
      </c>
      <c r="O39" s="1228"/>
      <c r="P39" s="1189"/>
      <c r="Q39" s="1190"/>
      <c r="T39" s="1185" t="s">
        <v>56</v>
      </c>
      <c r="U39" s="1185"/>
      <c r="W39" s="404">
        <f t="shared" si="4"/>
        <v>46635</v>
      </c>
      <c r="AX39" s="122"/>
    </row>
    <row r="40" spans="1:50" ht="12.5" x14ac:dyDescent="0.25">
      <c r="A40" s="123"/>
      <c r="B40" s="245" t="s">
        <v>65</v>
      </c>
      <c r="C40" s="428"/>
      <c r="D40" s="194"/>
      <c r="E40" s="123"/>
      <c r="F40" s="123"/>
      <c r="G40" s="123"/>
      <c r="H40" s="123"/>
      <c r="I40" s="123"/>
      <c r="J40" s="200"/>
      <c r="K40" s="1205">
        <f t="shared" si="2"/>
        <v>0</v>
      </c>
      <c r="L40" s="1205"/>
      <c r="M40" s="404" t="str">
        <f t="shared" si="3"/>
        <v/>
      </c>
      <c r="N40" s="1228">
        <f>IF(E26&gt;24,F26,0)</f>
        <v>0</v>
      </c>
      <c r="O40" s="1228"/>
      <c r="P40" s="1189"/>
      <c r="Q40" s="1190"/>
      <c r="T40" s="1185" t="s">
        <v>57</v>
      </c>
      <c r="U40" s="1185"/>
      <c r="W40" s="404">
        <f t="shared" si="4"/>
        <v>46665</v>
      </c>
      <c r="AX40" s="122"/>
    </row>
    <row r="41" spans="1:50" ht="12.5" x14ac:dyDescent="0.25">
      <c r="A41" s="123"/>
      <c r="B41" s="240"/>
      <c r="C41" s="123"/>
      <c r="D41" s="123"/>
      <c r="E41" s="123"/>
      <c r="F41" s="123"/>
      <c r="G41" s="123"/>
      <c r="H41" s="123"/>
      <c r="I41" s="123"/>
      <c r="J41" s="194"/>
      <c r="K41" s="1205">
        <f t="shared" si="2"/>
        <v>0</v>
      </c>
      <c r="L41" s="1205"/>
      <c r="M41" s="404" t="str">
        <f t="shared" si="3"/>
        <v/>
      </c>
      <c r="N41" s="1228">
        <f>IF(E26&gt;25,F26,0)</f>
        <v>0</v>
      </c>
      <c r="O41" s="1228"/>
      <c r="P41" s="1189"/>
      <c r="Q41" s="1190"/>
      <c r="T41" s="1185" t="s">
        <v>58</v>
      </c>
      <c r="U41" s="1185"/>
      <c r="W41" s="404">
        <f t="shared" si="4"/>
        <v>46696</v>
      </c>
      <c r="AX41" s="122"/>
    </row>
    <row r="42" spans="1:50" ht="12.5" x14ac:dyDescent="0.25">
      <c r="A42" s="123"/>
      <c r="B42" s="171" t="s">
        <v>202</v>
      </c>
      <c r="C42" s="171"/>
      <c r="D42" s="272"/>
      <c r="E42" s="272"/>
      <c r="F42" s="272"/>
      <c r="G42" s="272"/>
      <c r="H42" s="272"/>
      <c r="I42" s="272"/>
      <c r="J42" s="194"/>
      <c r="K42" s="1205">
        <f t="shared" si="2"/>
        <v>0</v>
      </c>
      <c r="L42" s="1205"/>
      <c r="M42" s="404" t="str">
        <f t="shared" si="3"/>
        <v/>
      </c>
      <c r="N42" s="1228">
        <f>IF(E26&gt;26,F26,0)</f>
        <v>0</v>
      </c>
      <c r="O42" s="1228"/>
      <c r="P42" s="1189"/>
      <c r="Q42" s="1190"/>
      <c r="T42" s="1185" t="s">
        <v>59</v>
      </c>
      <c r="U42" s="1185"/>
      <c r="W42" s="404">
        <f t="shared" si="4"/>
        <v>46726</v>
      </c>
      <c r="AX42" s="122"/>
    </row>
    <row r="43" spans="1:50" ht="12.5" x14ac:dyDescent="0.25">
      <c r="A43" s="123"/>
      <c r="B43" s="272"/>
      <c r="C43" s="272"/>
      <c r="D43" s="272"/>
      <c r="E43" s="272"/>
      <c r="F43" s="272"/>
      <c r="G43" s="272"/>
      <c r="H43" s="272"/>
      <c r="I43" s="272"/>
      <c r="J43" s="194"/>
      <c r="K43" s="1205">
        <f t="shared" si="2"/>
        <v>0</v>
      </c>
      <c r="L43" s="1205"/>
      <c r="M43" s="404" t="str">
        <f t="shared" si="3"/>
        <v/>
      </c>
      <c r="N43" s="1228">
        <f>IF($E$26&gt;27,$F$26,0)</f>
        <v>0</v>
      </c>
      <c r="O43" s="1228"/>
      <c r="P43" s="1189"/>
      <c r="Q43" s="1190"/>
      <c r="T43" s="1185" t="s">
        <v>60</v>
      </c>
      <c r="U43" s="1185"/>
      <c r="W43" s="404">
        <f t="shared" si="4"/>
        <v>46757</v>
      </c>
      <c r="AX43" s="122"/>
    </row>
    <row r="44" spans="1:50" ht="12.5" x14ac:dyDescent="0.25">
      <c r="A44" s="123"/>
      <c r="B44" s="1221" t="s">
        <v>164</v>
      </c>
      <c r="C44" s="1221"/>
      <c r="D44" s="1221" t="s">
        <v>162</v>
      </c>
      <c r="E44" s="1221"/>
      <c r="F44" s="1221"/>
      <c r="G44" s="1221" t="s">
        <v>207</v>
      </c>
      <c r="H44" s="1221"/>
      <c r="I44" s="1221"/>
      <c r="J44" s="194"/>
      <c r="K44" s="1205">
        <f t="shared" si="2"/>
        <v>0</v>
      </c>
      <c r="L44" s="1205"/>
      <c r="M44" s="404" t="str">
        <f t="shared" si="3"/>
        <v/>
      </c>
      <c r="N44" s="1228">
        <f>IF($E$26&gt;28,$F$26,0)</f>
        <v>0</v>
      </c>
      <c r="O44" s="1228"/>
      <c r="P44" s="1189"/>
      <c r="Q44" s="1190"/>
      <c r="T44" s="1185" t="s">
        <v>61</v>
      </c>
      <c r="U44" s="1185"/>
      <c r="W44" s="404">
        <f t="shared" si="4"/>
        <v>46788</v>
      </c>
      <c r="AJ44" s="122"/>
      <c r="AW44" s="122"/>
      <c r="AX44" s="122"/>
    </row>
    <row r="45" spans="1:50" ht="12.5" x14ac:dyDescent="0.25">
      <c r="A45" s="123"/>
      <c r="B45" s="1199">
        <f>FORM!O19</f>
        <v>0</v>
      </c>
      <c r="C45" s="1200"/>
      <c r="D45" s="1199">
        <f>FORM!S19</f>
        <v>0</v>
      </c>
      <c r="E45" s="1203"/>
      <c r="F45" s="1200"/>
      <c r="G45" s="1193">
        <f>FORM!V19</f>
        <v>0</v>
      </c>
      <c r="H45" s="1194"/>
      <c r="I45" s="1195"/>
      <c r="J45" s="200"/>
      <c r="K45" s="1205">
        <f t="shared" si="2"/>
        <v>0</v>
      </c>
      <c r="L45" s="1205"/>
      <c r="M45" s="404" t="str">
        <f t="shared" si="3"/>
        <v/>
      </c>
      <c r="N45" s="1228">
        <f>IF($E$26&gt;29,$F$26,0)</f>
        <v>0</v>
      </c>
      <c r="O45" s="1228"/>
      <c r="P45" s="1189"/>
      <c r="Q45" s="1190"/>
      <c r="T45" s="1185" t="s">
        <v>62</v>
      </c>
      <c r="U45" s="1185"/>
      <c r="W45" s="404">
        <f t="shared" si="4"/>
        <v>46817</v>
      </c>
      <c r="AJ45" s="122"/>
      <c r="AW45" s="122"/>
      <c r="AX45" s="122"/>
    </row>
    <row r="46" spans="1:50" ht="15" customHeight="1" x14ac:dyDescent="0.25">
      <c r="A46" s="123"/>
      <c r="B46" s="1201"/>
      <c r="C46" s="1202"/>
      <c r="D46" s="1201"/>
      <c r="E46" s="1204"/>
      <c r="F46" s="1202"/>
      <c r="G46" s="1196"/>
      <c r="H46" s="1197"/>
      <c r="I46" s="1198"/>
      <c r="J46" s="200"/>
      <c r="K46" s="1205">
        <f t="shared" si="2"/>
        <v>0</v>
      </c>
      <c r="L46" s="1205"/>
      <c r="M46" s="404" t="str">
        <f t="shared" si="3"/>
        <v/>
      </c>
      <c r="N46" s="1228">
        <f>IF($E$26&gt;30,$F$26,0)</f>
        <v>0</v>
      </c>
      <c r="O46" s="1228"/>
      <c r="P46" s="1189"/>
      <c r="Q46" s="1190"/>
      <c r="T46" s="1191" t="s">
        <v>64</v>
      </c>
      <c r="U46" s="1191"/>
      <c r="W46" s="404">
        <f t="shared" si="4"/>
        <v>46848</v>
      </c>
      <c r="AJ46" s="122"/>
      <c r="AW46" s="122"/>
      <c r="AX46" s="122"/>
    </row>
    <row r="47" spans="1:50" ht="12.5" x14ac:dyDescent="0.25">
      <c r="A47" s="123"/>
      <c r="B47" s="1199">
        <f>FORM!O21</f>
        <v>0</v>
      </c>
      <c r="C47" s="1200"/>
      <c r="D47" s="1199">
        <f>FORM!S21</f>
        <v>0</v>
      </c>
      <c r="E47" s="1203"/>
      <c r="F47" s="1200"/>
      <c r="G47" s="1193">
        <f>FORM!V21</f>
        <v>0</v>
      </c>
      <c r="H47" s="1194"/>
      <c r="I47" s="1195"/>
      <c r="J47" s="267"/>
      <c r="K47" s="1205">
        <f t="shared" si="2"/>
        <v>0</v>
      </c>
      <c r="L47" s="1205"/>
      <c r="M47" s="404" t="str">
        <f t="shared" si="3"/>
        <v/>
      </c>
      <c r="N47" s="1228">
        <f>IF($E$26&gt;31,$F$26,0)</f>
        <v>0</v>
      </c>
      <c r="O47" s="1228"/>
      <c r="P47" s="1189"/>
      <c r="Q47" s="1190"/>
      <c r="T47" s="1191" t="s">
        <v>66</v>
      </c>
      <c r="U47" s="1191"/>
      <c r="W47" s="404">
        <f t="shared" si="4"/>
        <v>46878</v>
      </c>
      <c r="AJ47" s="122"/>
      <c r="AW47" s="122"/>
      <c r="AX47" s="122"/>
    </row>
    <row r="48" spans="1:50" ht="15" customHeight="1" x14ac:dyDescent="0.25">
      <c r="A48" s="123"/>
      <c r="B48" s="1201"/>
      <c r="C48" s="1202"/>
      <c r="D48" s="1201"/>
      <c r="E48" s="1204"/>
      <c r="F48" s="1202"/>
      <c r="G48" s="1196"/>
      <c r="H48" s="1197"/>
      <c r="I48" s="1198"/>
      <c r="J48" s="267"/>
      <c r="K48" s="1205">
        <f t="shared" si="2"/>
        <v>0</v>
      </c>
      <c r="L48" s="1205"/>
      <c r="M48" s="404" t="str">
        <f t="shared" si="3"/>
        <v/>
      </c>
      <c r="N48" s="1228">
        <f>IF($E$26&gt;32,$F$26,0)</f>
        <v>0</v>
      </c>
      <c r="O48" s="1228"/>
      <c r="P48" s="1189"/>
      <c r="Q48" s="1190"/>
      <c r="T48" s="1185" t="s">
        <v>67</v>
      </c>
      <c r="U48" s="1185"/>
      <c r="W48" s="404">
        <f t="shared" si="4"/>
        <v>46909</v>
      </c>
      <c r="AJ48" s="122"/>
      <c r="AW48" s="122"/>
      <c r="AX48" s="122"/>
    </row>
    <row r="49" spans="1:50" ht="12.5" x14ac:dyDescent="0.25">
      <c r="A49" s="123"/>
      <c r="B49" s="1199">
        <f>FORM!O25</f>
        <v>0</v>
      </c>
      <c r="C49" s="1200"/>
      <c r="D49" s="1199">
        <f>FORM!S25</f>
        <v>0</v>
      </c>
      <c r="E49" s="1203"/>
      <c r="F49" s="1200"/>
      <c r="G49" s="1193">
        <f>FORM!V25</f>
        <v>0</v>
      </c>
      <c r="H49" s="1194"/>
      <c r="I49" s="1195"/>
      <c r="J49" s="267"/>
      <c r="K49" s="1205">
        <f t="shared" si="2"/>
        <v>0</v>
      </c>
      <c r="L49" s="1205"/>
      <c r="M49" s="404" t="str">
        <f t="shared" si="3"/>
        <v/>
      </c>
      <c r="N49" s="1228">
        <f>IF($E$26&gt;33,$F$26,0)</f>
        <v>0</v>
      </c>
      <c r="O49" s="1228"/>
      <c r="P49" s="1189"/>
      <c r="Q49" s="1190"/>
      <c r="T49" s="1185" t="s">
        <v>69</v>
      </c>
      <c r="U49" s="1185"/>
      <c r="W49" s="404">
        <f t="shared" si="4"/>
        <v>46939</v>
      </c>
      <c r="AJ49" s="122"/>
      <c r="AW49" s="122"/>
      <c r="AX49" s="122"/>
    </row>
    <row r="50" spans="1:50" ht="15" customHeight="1" x14ac:dyDescent="0.25">
      <c r="A50" s="123"/>
      <c r="B50" s="1201"/>
      <c r="C50" s="1202"/>
      <c r="D50" s="1201"/>
      <c r="E50" s="1204"/>
      <c r="F50" s="1202"/>
      <c r="G50" s="1196"/>
      <c r="H50" s="1197"/>
      <c r="I50" s="1198"/>
      <c r="J50" s="123"/>
      <c r="K50" s="1205">
        <f t="shared" si="2"/>
        <v>0</v>
      </c>
      <c r="L50" s="1205"/>
      <c r="M50" s="404" t="str">
        <f t="shared" si="3"/>
        <v/>
      </c>
      <c r="N50" s="1228">
        <f>IF($E$26&gt;34,$F$26,0)</f>
        <v>0</v>
      </c>
      <c r="O50" s="1228"/>
      <c r="P50" s="1189"/>
      <c r="Q50" s="1190"/>
      <c r="T50" s="1185" t="s">
        <v>107</v>
      </c>
      <c r="U50" s="1185"/>
      <c r="W50" s="404">
        <f t="shared" si="4"/>
        <v>46970</v>
      </c>
      <c r="AJ50" s="122"/>
      <c r="AW50" s="122"/>
      <c r="AX50" s="122"/>
    </row>
    <row r="51" spans="1:50" ht="12.5" x14ac:dyDescent="0.25">
      <c r="A51" s="123"/>
      <c r="B51" s="1199">
        <f>FORM!O27</f>
        <v>0</v>
      </c>
      <c r="C51" s="1200"/>
      <c r="D51" s="1199">
        <f>FORM!S27</f>
        <v>0</v>
      </c>
      <c r="E51" s="1203"/>
      <c r="F51" s="1200"/>
      <c r="G51" s="1193">
        <f>FORM!V27</f>
        <v>0</v>
      </c>
      <c r="H51" s="1194"/>
      <c r="I51" s="1195"/>
      <c r="J51" s="123"/>
      <c r="K51" s="1205">
        <f t="shared" si="2"/>
        <v>0</v>
      </c>
      <c r="L51" s="1205"/>
      <c r="M51" s="404" t="str">
        <f t="shared" si="3"/>
        <v/>
      </c>
      <c r="N51" s="1228">
        <f>IF($E$26&gt;35,$F$26,0)</f>
        <v>0</v>
      </c>
      <c r="O51" s="1228"/>
      <c r="P51" s="1189"/>
      <c r="Q51" s="1190"/>
      <c r="T51" s="1185" t="s">
        <v>111</v>
      </c>
      <c r="U51" s="1185"/>
      <c r="W51" s="404">
        <f t="shared" si="4"/>
        <v>47001</v>
      </c>
      <c r="AJ51" s="122"/>
      <c r="AW51" s="122"/>
      <c r="AX51" s="122"/>
    </row>
    <row r="52" spans="1:50" ht="15" customHeight="1" x14ac:dyDescent="0.25">
      <c r="A52" s="123"/>
      <c r="B52" s="1201"/>
      <c r="C52" s="1202"/>
      <c r="D52" s="1201"/>
      <c r="E52" s="1204"/>
      <c r="F52" s="1202"/>
      <c r="G52" s="1196"/>
      <c r="H52" s="1197"/>
      <c r="I52" s="1198"/>
      <c r="J52" s="123"/>
      <c r="K52" s="1205">
        <f t="shared" si="2"/>
        <v>0</v>
      </c>
      <c r="L52" s="1205"/>
      <c r="M52" s="404" t="str">
        <f t="shared" si="3"/>
        <v/>
      </c>
      <c r="N52" s="1228">
        <f>IF($E$26&gt;36,$F$26,0)</f>
        <v>0</v>
      </c>
      <c r="O52" s="1228"/>
      <c r="P52" s="1189"/>
      <c r="Q52" s="1190"/>
      <c r="T52" s="1185" t="s">
        <v>112</v>
      </c>
      <c r="U52" s="1185"/>
      <c r="W52" s="404">
        <f>IF(AND(DAY(W51)&gt;=6,DAY(W51)&lt;=20),DATE(YEAR(W51),MONTH(W51)+1,DAY(20)),IF(AND(DAY(W51)&gt;=21,DAY(W51)&lt;=30),DATE(YEAR(W51),MONTH(W51)+1,IF(DAY(EOMONTH(W51,1))&lt;30,DAY(EOMONTH(W51,1)),DAY(30))),DATE(YEAR(W51),MONTH(W51)+1,DAY(5))))</f>
        <v>47031</v>
      </c>
      <c r="AJ52" s="122"/>
      <c r="AW52" s="122"/>
      <c r="AX52" s="122"/>
    </row>
    <row r="53" spans="1:50" ht="12.5" x14ac:dyDescent="0.25">
      <c r="A53" s="123"/>
      <c r="B53" s="1199">
        <f>FORM!O31</f>
        <v>0</v>
      </c>
      <c r="C53" s="1200"/>
      <c r="D53" s="1199">
        <f>FORM!S31</f>
        <v>0</v>
      </c>
      <c r="E53" s="1203"/>
      <c r="F53" s="1200"/>
      <c r="G53" s="1193">
        <f>FORM!V31</f>
        <v>0</v>
      </c>
      <c r="H53" s="1194"/>
      <c r="I53" s="1195"/>
      <c r="J53" s="123"/>
      <c r="K53" s="1205">
        <f t="shared" si="2"/>
        <v>0</v>
      </c>
      <c r="L53" s="1205"/>
      <c r="M53" s="404" t="str">
        <f t="shared" si="3"/>
        <v/>
      </c>
      <c r="N53" s="1228">
        <f>IF($E$26&gt;37,$F$26,0)</f>
        <v>0</v>
      </c>
      <c r="O53" s="1228"/>
      <c r="P53" s="1189"/>
      <c r="Q53" s="1190"/>
      <c r="T53" s="1185" t="s">
        <v>113</v>
      </c>
      <c r="U53" s="1185"/>
      <c r="W53" s="404">
        <f t="shared" si="4"/>
        <v>47062</v>
      </c>
      <c r="AJ53" s="122"/>
      <c r="AW53" s="122"/>
      <c r="AX53" s="122"/>
    </row>
    <row r="54" spans="1:50" ht="15" customHeight="1" x14ac:dyDescent="0.25">
      <c r="A54" s="123"/>
      <c r="B54" s="1201"/>
      <c r="C54" s="1202"/>
      <c r="D54" s="1201"/>
      <c r="E54" s="1204"/>
      <c r="F54" s="1202"/>
      <c r="G54" s="1196"/>
      <c r="H54" s="1197"/>
      <c r="I54" s="1198"/>
      <c r="J54" s="123"/>
      <c r="K54" s="1205">
        <f t="shared" si="2"/>
        <v>0</v>
      </c>
      <c r="L54" s="1205"/>
      <c r="M54" s="404" t="str">
        <f t="shared" si="3"/>
        <v/>
      </c>
      <c r="N54" s="1228">
        <f>IF($E$26&gt;38,$F$26,0)</f>
        <v>0</v>
      </c>
      <c r="O54" s="1228"/>
      <c r="P54" s="1189"/>
      <c r="Q54" s="1190"/>
      <c r="T54" s="1185" t="s">
        <v>114</v>
      </c>
      <c r="U54" s="1185"/>
      <c r="W54" s="404">
        <f t="shared" si="4"/>
        <v>47092</v>
      </c>
      <c r="AJ54" s="122"/>
      <c r="AW54" s="122"/>
      <c r="AX54" s="122"/>
    </row>
    <row r="55" spans="1:50" ht="12.5" x14ac:dyDescent="0.25">
      <c r="A55" s="123"/>
      <c r="B55" s="1199">
        <f>FORM!O33</f>
        <v>0</v>
      </c>
      <c r="C55" s="1200"/>
      <c r="D55" s="1199">
        <f>FORM!S33</f>
        <v>0</v>
      </c>
      <c r="E55" s="1203"/>
      <c r="F55" s="1200"/>
      <c r="G55" s="1193">
        <f>FORM!V33</f>
        <v>0</v>
      </c>
      <c r="H55" s="1194"/>
      <c r="I55" s="1195"/>
      <c r="J55" s="267"/>
      <c r="K55" s="1205">
        <f t="shared" si="2"/>
        <v>0</v>
      </c>
      <c r="L55" s="1205"/>
      <c r="M55" s="404" t="str">
        <f t="shared" si="3"/>
        <v/>
      </c>
      <c r="N55" s="1228">
        <f>IF($E$26&gt;39,$F$26,0)</f>
        <v>0</v>
      </c>
      <c r="O55" s="1228"/>
      <c r="P55" s="1189"/>
      <c r="Q55" s="1190"/>
      <c r="T55" s="1185" t="s">
        <v>115</v>
      </c>
      <c r="U55" s="1185"/>
      <c r="W55" s="404">
        <f t="shared" si="4"/>
        <v>47123</v>
      </c>
      <c r="AJ55" s="122"/>
      <c r="AW55" s="122"/>
      <c r="AX55" s="122"/>
    </row>
    <row r="56" spans="1:50" ht="12.75" customHeight="1" x14ac:dyDescent="0.25">
      <c r="A56" s="123"/>
      <c r="B56" s="1201"/>
      <c r="C56" s="1202"/>
      <c r="D56" s="1201"/>
      <c r="E56" s="1204"/>
      <c r="F56" s="1202"/>
      <c r="G56" s="1196"/>
      <c r="H56" s="1197"/>
      <c r="I56" s="1198"/>
      <c r="J56" s="267"/>
      <c r="K56" s="1205">
        <f t="shared" si="2"/>
        <v>0</v>
      </c>
      <c r="L56" s="1205"/>
      <c r="M56" s="404" t="str">
        <f t="shared" si="3"/>
        <v/>
      </c>
      <c r="N56" s="1228">
        <f>IF($E$26&gt;40,$F$26,0)</f>
        <v>0</v>
      </c>
      <c r="O56" s="1228"/>
      <c r="P56" s="1189"/>
      <c r="Q56" s="1190"/>
      <c r="T56" s="1185" t="s">
        <v>179</v>
      </c>
      <c r="U56" s="1185"/>
      <c r="W56" s="404">
        <f t="shared" si="4"/>
        <v>47154</v>
      </c>
      <c r="AJ56" s="122"/>
      <c r="AW56" s="122"/>
      <c r="AX56" s="122"/>
    </row>
    <row r="57" spans="1:50" ht="12.5" x14ac:dyDescent="0.25">
      <c r="A57" s="123"/>
      <c r="B57" s="240"/>
      <c r="C57" s="123"/>
      <c r="D57" s="123" t="s">
        <v>1</v>
      </c>
      <c r="E57" s="123"/>
      <c r="F57" s="123"/>
      <c r="G57" s="123"/>
      <c r="H57" s="123"/>
      <c r="I57" s="123"/>
      <c r="J57" s="267"/>
      <c r="K57" s="1205">
        <f t="shared" si="2"/>
        <v>0</v>
      </c>
      <c r="L57" s="1205"/>
      <c r="M57" s="404" t="str">
        <f t="shared" si="3"/>
        <v/>
      </c>
      <c r="N57" s="1228">
        <f>IF($E$26&gt;41,$F$26,0)</f>
        <v>0</v>
      </c>
      <c r="O57" s="1228"/>
      <c r="P57" s="1189"/>
      <c r="Q57" s="1190"/>
      <c r="T57" s="1185" t="s">
        <v>180</v>
      </c>
      <c r="U57" s="1185"/>
      <c r="W57" s="404">
        <f t="shared" si="4"/>
        <v>47182</v>
      </c>
      <c r="AJ57" s="122"/>
      <c r="AW57" s="122"/>
      <c r="AX57" s="122"/>
    </row>
    <row r="58" spans="1:50" ht="12.5" x14ac:dyDescent="0.25">
      <c r="A58" s="123"/>
      <c r="C58" s="429" t="s">
        <v>222</v>
      </c>
      <c r="D58" s="1192"/>
      <c r="E58" s="1192"/>
      <c r="F58" s="1192"/>
      <c r="G58" s="123"/>
      <c r="H58" s="123"/>
      <c r="I58" s="123"/>
      <c r="J58" s="267"/>
      <c r="K58" s="1205">
        <f t="shared" si="2"/>
        <v>0</v>
      </c>
      <c r="L58" s="1205"/>
      <c r="M58" s="404" t="str">
        <f t="shared" si="3"/>
        <v/>
      </c>
      <c r="N58" s="1228">
        <f>IF($E$26&gt;42,$F$26,0)</f>
        <v>0</v>
      </c>
      <c r="O58" s="1228"/>
      <c r="P58" s="1189"/>
      <c r="Q58" s="1190"/>
      <c r="T58" s="1185" t="s">
        <v>181</v>
      </c>
      <c r="U58" s="1185"/>
      <c r="W58" s="404">
        <f t="shared" si="4"/>
        <v>47213</v>
      </c>
      <c r="AJ58" s="122"/>
      <c r="AW58" s="122"/>
      <c r="AX58" s="122"/>
    </row>
    <row r="59" spans="1:50" ht="12.5" x14ac:dyDescent="0.25">
      <c r="A59" s="123"/>
      <c r="B59" s="429"/>
      <c r="C59" s="123"/>
      <c r="D59" s="19"/>
      <c r="E59" s="19"/>
      <c r="F59" s="123"/>
      <c r="G59" s="123"/>
      <c r="H59" s="123"/>
      <c r="I59" s="123"/>
      <c r="J59" s="267"/>
      <c r="K59" s="1205">
        <f t="shared" si="2"/>
        <v>0</v>
      </c>
      <c r="L59" s="1205"/>
      <c r="M59" s="404" t="str">
        <f t="shared" si="3"/>
        <v/>
      </c>
      <c r="N59" s="1228">
        <f>IF($E$26&gt;43,$F$26,0)</f>
        <v>0</v>
      </c>
      <c r="O59" s="1228"/>
      <c r="P59" s="1189"/>
      <c r="Q59" s="1190"/>
      <c r="T59" s="1185" t="s">
        <v>182</v>
      </c>
      <c r="U59" s="1185"/>
      <c r="W59" s="404">
        <f t="shared" si="4"/>
        <v>47243</v>
      </c>
      <c r="AJ59" s="122"/>
      <c r="AW59" s="122"/>
      <c r="AX59" s="122"/>
    </row>
    <row r="60" spans="1:50" ht="12.5" x14ac:dyDescent="0.25">
      <c r="A60" s="123"/>
      <c r="B60" s="429"/>
      <c r="C60" s="123"/>
      <c r="D60" s="19"/>
      <c r="E60" s="19"/>
      <c r="F60" s="123"/>
      <c r="G60" s="123"/>
      <c r="H60" s="123"/>
      <c r="I60" s="123"/>
      <c r="J60" s="267"/>
      <c r="K60" s="1205">
        <f t="shared" si="2"/>
        <v>0</v>
      </c>
      <c r="L60" s="1205"/>
      <c r="M60" s="404" t="str">
        <f t="shared" si="3"/>
        <v/>
      </c>
      <c r="N60" s="1228">
        <f>IF($E$26&gt;44,$F$26,0)</f>
        <v>0</v>
      </c>
      <c r="O60" s="1228"/>
      <c r="P60" s="1189"/>
      <c r="Q60" s="1190"/>
      <c r="T60" s="1185" t="s">
        <v>183</v>
      </c>
      <c r="U60" s="1185"/>
      <c r="W60" s="404">
        <f>IF(AND(DAY(W59)&gt;=6,DAY(W59)&lt;=20),DATE(YEAR(W59),MONTH(W59)+1,DAY(20)),IF(AND(DAY(W59)&gt;=21,DAY(W59)&lt;=30),DATE(YEAR(W59),MONTH(W59)+1,IF(DAY(EOMONTH(W59,1))&lt;30,DAY(EOMONTH(W59,1)),DAY(30))),DATE(YEAR(W59),MONTH(W59)+1,DAY(5))))</f>
        <v>47274</v>
      </c>
      <c r="AJ60" s="122"/>
      <c r="AW60" s="122"/>
      <c r="AX60" s="122"/>
    </row>
    <row r="61" spans="1:50" ht="12.5" x14ac:dyDescent="0.25">
      <c r="A61" s="123"/>
      <c r="B61" s="429"/>
      <c r="C61" s="123"/>
      <c r="D61" s="19"/>
      <c r="E61" s="19"/>
      <c r="F61" s="123"/>
      <c r="G61" s="123"/>
      <c r="H61" s="123"/>
      <c r="I61" s="123"/>
      <c r="J61" s="267"/>
      <c r="K61" s="1239">
        <f t="shared" si="2"/>
        <v>0</v>
      </c>
      <c r="L61" s="1240"/>
      <c r="M61" s="404" t="str">
        <f t="shared" si="3"/>
        <v/>
      </c>
      <c r="N61" s="1241">
        <f>IF($E$26&gt;45,$F$26,0)</f>
        <v>0</v>
      </c>
      <c r="O61" s="1242"/>
      <c r="P61" s="1189"/>
      <c r="Q61" s="1190"/>
      <c r="T61" s="1185" t="s">
        <v>184</v>
      </c>
      <c r="U61" s="1185"/>
      <c r="W61" s="404">
        <f t="shared" ref="W61:W69" si="8">IF(AND(DAY(W60)&gt;=6,DAY(W60)&lt;=20),DATE(YEAR(W60),MONTH(W60)+1,DAY(20)),IF(AND(DAY(W60)&gt;=21,DAY(W60)&lt;=30),DATE(YEAR(W60),MONTH(W60)+1,IF(DAY(EOMONTH(W60,1))&lt;30,DAY(EOMONTH(W60,1)),DAY(30))),DATE(YEAR(W60),MONTH(W60)+1,DAY(5))))</f>
        <v>47304</v>
      </c>
      <c r="AJ61" s="122"/>
      <c r="AW61" s="122"/>
      <c r="AX61" s="122"/>
    </row>
    <row r="62" spans="1:50" ht="12.5" x14ac:dyDescent="0.25">
      <c r="A62" s="123"/>
      <c r="B62" s="429"/>
      <c r="C62" s="123"/>
      <c r="D62" s="19"/>
      <c r="E62" s="19"/>
      <c r="F62" s="123"/>
      <c r="G62" s="123"/>
      <c r="H62" s="123"/>
      <c r="I62" s="123"/>
      <c r="J62" s="267"/>
      <c r="K62" s="1239">
        <f t="shared" ref="K62:K69" si="9">IF(N62&gt;1,T62,0)</f>
        <v>0</v>
      </c>
      <c r="L62" s="1240"/>
      <c r="M62" s="404" t="str">
        <f t="shared" si="3"/>
        <v/>
      </c>
      <c r="N62" s="1241">
        <f>IF($E$26&gt;46,$F$26,0)</f>
        <v>0</v>
      </c>
      <c r="O62" s="1242"/>
      <c r="P62" s="931"/>
      <c r="Q62" s="918"/>
      <c r="T62" s="1185" t="s">
        <v>428</v>
      </c>
      <c r="U62" s="1185"/>
      <c r="W62" s="404">
        <f t="shared" si="8"/>
        <v>47335</v>
      </c>
      <c r="AJ62" s="122"/>
      <c r="AW62" s="122"/>
      <c r="AX62" s="122"/>
    </row>
    <row r="63" spans="1:50" ht="12.5" x14ac:dyDescent="0.25">
      <c r="A63" s="123"/>
      <c r="B63" s="429"/>
      <c r="C63" s="123"/>
      <c r="D63" s="19"/>
      <c r="E63" s="19"/>
      <c r="F63" s="123"/>
      <c r="G63" s="123"/>
      <c r="H63" s="123"/>
      <c r="I63" s="123"/>
      <c r="J63" s="267"/>
      <c r="K63" s="1239">
        <f t="shared" si="9"/>
        <v>0</v>
      </c>
      <c r="L63" s="1240"/>
      <c r="M63" s="404" t="str">
        <f t="shared" si="3"/>
        <v/>
      </c>
      <c r="N63" s="1241">
        <f>IF($E$26&gt;47,$F$26,0)</f>
        <v>0</v>
      </c>
      <c r="O63" s="1242"/>
      <c r="P63" s="931"/>
      <c r="Q63" s="918"/>
      <c r="T63" s="1185" t="s">
        <v>429</v>
      </c>
      <c r="U63" s="1185"/>
      <c r="W63" s="404">
        <f t="shared" si="8"/>
        <v>47366</v>
      </c>
      <c r="AJ63" s="122"/>
      <c r="AW63" s="122"/>
      <c r="AX63" s="122"/>
    </row>
    <row r="64" spans="1:50" ht="12.5" x14ac:dyDescent="0.25">
      <c r="A64" s="123"/>
      <c r="B64" s="125" t="s">
        <v>70</v>
      </c>
      <c r="C64" s="123"/>
      <c r="D64" s="123"/>
      <c r="E64" s="123"/>
      <c r="F64" s="125" t="s">
        <v>71</v>
      </c>
      <c r="G64" s="123"/>
      <c r="H64" s="123"/>
      <c r="I64" s="123"/>
      <c r="J64" s="267"/>
      <c r="K64" s="1239">
        <f t="shared" si="9"/>
        <v>0</v>
      </c>
      <c r="L64" s="1240"/>
      <c r="M64" s="404" t="str">
        <f t="shared" si="3"/>
        <v/>
      </c>
      <c r="N64" s="1241">
        <f>IF($E$26&gt;48,$F$26,0)</f>
        <v>0</v>
      </c>
      <c r="O64" s="1242"/>
      <c r="P64" s="931"/>
      <c r="Q64" s="918"/>
      <c r="T64" s="1185" t="s">
        <v>430</v>
      </c>
      <c r="U64" s="1185"/>
      <c r="W64" s="404">
        <f t="shared" si="8"/>
        <v>47396</v>
      </c>
      <c r="AJ64" s="122"/>
      <c r="AW64" s="122"/>
      <c r="AX64" s="122"/>
    </row>
    <row r="65" spans="1:50" ht="12" customHeight="1" x14ac:dyDescent="0.25">
      <c r="A65" s="123"/>
      <c r="B65" s="123"/>
      <c r="C65" s="123"/>
      <c r="D65" s="194"/>
      <c r="E65" s="123"/>
      <c r="F65" s="123"/>
      <c r="G65" s="123"/>
      <c r="H65" s="123"/>
      <c r="I65" s="123"/>
      <c r="J65" s="267"/>
      <c r="K65" s="1239">
        <f t="shared" si="9"/>
        <v>0</v>
      </c>
      <c r="L65" s="1240"/>
      <c r="M65" s="404" t="str">
        <f t="shared" si="3"/>
        <v/>
      </c>
      <c r="N65" s="1241">
        <f>IF($E$26&gt;49,$F$26,0)</f>
        <v>0</v>
      </c>
      <c r="O65" s="1242"/>
      <c r="P65" s="931"/>
      <c r="Q65" s="918"/>
      <c r="T65" s="1185" t="s">
        <v>431</v>
      </c>
      <c r="U65" s="1185"/>
      <c r="W65" s="404">
        <f t="shared" si="8"/>
        <v>47427</v>
      </c>
      <c r="AJ65" s="122"/>
      <c r="AW65" s="122"/>
      <c r="AX65" s="122"/>
    </row>
    <row r="66" spans="1:50" ht="12" customHeight="1" x14ac:dyDescent="0.25">
      <c r="A66" s="123"/>
      <c r="B66" s="123"/>
      <c r="C66" s="123"/>
      <c r="D66" s="194"/>
      <c r="E66" s="123"/>
      <c r="F66" s="123"/>
      <c r="G66" s="123"/>
      <c r="H66" s="123"/>
      <c r="I66" s="123"/>
      <c r="J66" s="267"/>
      <c r="K66" s="1239">
        <f t="shared" si="9"/>
        <v>0</v>
      </c>
      <c r="L66" s="1240"/>
      <c r="M66" s="404" t="str">
        <f t="shared" si="3"/>
        <v/>
      </c>
      <c r="N66" s="1241">
        <f>IF($E$26&gt;50,$F$26,0)</f>
        <v>0</v>
      </c>
      <c r="O66" s="1242"/>
      <c r="P66" s="931"/>
      <c r="Q66" s="918"/>
      <c r="T66" s="1185" t="s">
        <v>432</v>
      </c>
      <c r="U66" s="1185"/>
      <c r="W66" s="404">
        <f t="shared" si="8"/>
        <v>47457</v>
      </c>
      <c r="AJ66" s="122"/>
      <c r="AW66" s="122"/>
      <c r="AX66" s="122"/>
    </row>
    <row r="67" spans="1:50" ht="12" customHeight="1" x14ac:dyDescent="0.25">
      <c r="A67" s="123"/>
      <c r="B67" s="1234" t="str">
        <f>FORM!I28</f>
        <v>selller</v>
      </c>
      <c r="C67" s="1234"/>
      <c r="D67" s="1234"/>
      <c r="E67" s="125"/>
      <c r="F67" s="1234" t="str">
        <f>FORM!I26</f>
        <v>buyer</v>
      </c>
      <c r="G67" s="1234"/>
      <c r="H67" s="1234"/>
      <c r="I67" s="1234"/>
      <c r="J67" s="267"/>
      <c r="K67" s="1239">
        <f t="shared" si="9"/>
        <v>0</v>
      </c>
      <c r="L67" s="1240"/>
      <c r="M67" s="404" t="str">
        <f t="shared" si="3"/>
        <v/>
      </c>
      <c r="N67" s="1241">
        <f>IF($E$26&gt;51,$F$26,0)</f>
        <v>0</v>
      </c>
      <c r="O67" s="1242"/>
      <c r="P67" s="931"/>
      <c r="Q67" s="918"/>
      <c r="T67" s="1185" t="s">
        <v>433</v>
      </c>
      <c r="U67" s="1185"/>
      <c r="W67" s="404">
        <f t="shared" si="8"/>
        <v>47488</v>
      </c>
      <c r="AJ67" s="122"/>
      <c r="AW67" s="122"/>
      <c r="AX67" s="122"/>
    </row>
    <row r="68" spans="1:50" ht="12" customHeight="1" x14ac:dyDescent="0.25">
      <c r="A68" s="123"/>
      <c r="B68" s="134" t="s">
        <v>73</v>
      </c>
      <c r="C68" s="1235"/>
      <c r="D68" s="1235"/>
      <c r="E68" s="123"/>
      <c r="F68" s="1236" t="s">
        <v>74</v>
      </c>
      <c r="G68" s="1236"/>
      <c r="H68" s="1236"/>
      <c r="I68" s="247"/>
      <c r="J68" s="267"/>
      <c r="K68" s="1239">
        <f t="shared" si="9"/>
        <v>0</v>
      </c>
      <c r="L68" s="1240"/>
      <c r="M68" s="404" t="str">
        <f t="shared" si="3"/>
        <v/>
      </c>
      <c r="N68" s="1241">
        <f>IF($E$26&gt;52,$F$26,0)</f>
        <v>0</v>
      </c>
      <c r="O68" s="1242"/>
      <c r="P68" s="931"/>
      <c r="Q68" s="918"/>
      <c r="T68" s="1185" t="s">
        <v>434</v>
      </c>
      <c r="U68" s="1185"/>
      <c r="W68" s="404">
        <f t="shared" si="8"/>
        <v>47519</v>
      </c>
      <c r="AJ68" s="122"/>
      <c r="AW68" s="122"/>
      <c r="AX68" s="122"/>
    </row>
    <row r="69" spans="1:50" ht="12" customHeight="1" x14ac:dyDescent="0.25">
      <c r="A69" s="123"/>
      <c r="B69" s="240"/>
      <c r="C69" s="123"/>
      <c r="D69" s="123"/>
      <c r="E69" s="123"/>
      <c r="F69" s="123"/>
      <c r="G69" s="123"/>
      <c r="H69" s="123"/>
      <c r="I69" s="123"/>
      <c r="J69" s="267"/>
      <c r="K69" s="1239">
        <f t="shared" si="9"/>
        <v>0</v>
      </c>
      <c r="L69" s="1240"/>
      <c r="M69" s="404" t="str">
        <f t="shared" si="3"/>
        <v/>
      </c>
      <c r="N69" s="1241">
        <f>IF($E$26&gt;53,$F$26,0)</f>
        <v>0</v>
      </c>
      <c r="O69" s="1242"/>
      <c r="P69" s="931"/>
      <c r="Q69" s="918"/>
      <c r="T69" s="1185" t="s">
        <v>435</v>
      </c>
      <c r="U69" s="1185"/>
      <c r="W69" s="404">
        <f t="shared" si="8"/>
        <v>47547</v>
      </c>
      <c r="AJ69" s="122"/>
      <c r="AW69" s="122"/>
      <c r="AX69" s="122"/>
    </row>
    <row r="70" spans="1:50" ht="12" customHeight="1" x14ac:dyDescent="0.25">
      <c r="A70" s="123"/>
      <c r="B70" s="240"/>
      <c r="C70" s="123"/>
      <c r="D70" s="123"/>
      <c r="E70" s="123"/>
      <c r="F70" s="123"/>
      <c r="G70" s="123"/>
      <c r="H70" s="123"/>
      <c r="I70" s="123"/>
      <c r="J70" s="267"/>
      <c r="K70" s="1243" t="s">
        <v>72</v>
      </c>
      <c r="L70" s="1243"/>
      <c r="M70" s="430">
        <f>IF(DAY(W15)=31,Y17,AA17)</f>
        <v>45966</v>
      </c>
      <c r="N70" s="1244">
        <f>F28</f>
        <v>863600.70206621243</v>
      </c>
      <c r="O70" s="1244"/>
      <c r="P70" s="1245"/>
      <c r="Q70" s="1246"/>
      <c r="AJ70" s="122"/>
      <c r="AW70" s="122"/>
      <c r="AX70" s="122"/>
    </row>
    <row r="71" spans="1:50" ht="12" customHeight="1" x14ac:dyDescent="0.25">
      <c r="A71" s="123"/>
      <c r="B71" s="240"/>
      <c r="C71" s="123"/>
      <c r="D71" s="123"/>
      <c r="E71" s="123"/>
      <c r="F71" s="123"/>
      <c r="G71" s="123"/>
      <c r="H71" s="123"/>
      <c r="I71" s="123"/>
      <c r="J71" s="267"/>
      <c r="K71" s="1247"/>
      <c r="L71" s="1247"/>
      <c r="M71" s="431"/>
      <c r="N71" s="1248"/>
      <c r="O71" s="1248"/>
      <c r="P71" s="432"/>
      <c r="Q71" s="125"/>
      <c r="AJ71" s="122"/>
      <c r="AW71" s="122"/>
      <c r="AX71" s="122"/>
    </row>
    <row r="72" spans="1:50" ht="12" customHeight="1" x14ac:dyDescent="0.25">
      <c r="A72" s="123"/>
      <c r="B72" s="240"/>
      <c r="C72" s="123"/>
      <c r="D72" s="123"/>
      <c r="E72" s="123"/>
      <c r="F72" s="123"/>
      <c r="G72" s="123"/>
      <c r="H72" s="123"/>
      <c r="I72" s="123"/>
      <c r="J72" s="267"/>
      <c r="AJ72" s="122"/>
      <c r="AW72" s="122"/>
      <c r="AX72" s="122"/>
    </row>
    <row r="73" spans="1:50" ht="12" customHeight="1" x14ac:dyDescent="0.25">
      <c r="A73" s="123"/>
      <c r="B73" s="240"/>
      <c r="C73" s="123"/>
      <c r="D73" s="123"/>
      <c r="E73" s="123"/>
      <c r="F73" s="123"/>
      <c r="G73" s="123"/>
      <c r="H73" s="123"/>
      <c r="I73" s="123"/>
      <c r="J73" s="267"/>
      <c r="K73" s="125" t="s">
        <v>70</v>
      </c>
      <c r="L73" s="123"/>
      <c r="M73" s="123"/>
      <c r="N73" s="123"/>
      <c r="O73" s="125" t="s">
        <v>71</v>
      </c>
      <c r="P73" s="123"/>
      <c r="Q73" s="123"/>
      <c r="AJ73" s="122"/>
      <c r="AW73" s="122"/>
      <c r="AX73" s="122"/>
    </row>
    <row r="74" spans="1:50" ht="12" customHeight="1" x14ac:dyDescent="0.25">
      <c r="A74" s="123"/>
      <c r="B74" s="240"/>
      <c r="C74" s="123"/>
      <c r="D74" s="194"/>
      <c r="E74" s="123"/>
      <c r="F74" s="123"/>
      <c r="G74" s="123"/>
      <c r="H74" s="123"/>
      <c r="I74" s="123"/>
      <c r="J74" s="267"/>
      <c r="K74" s="123"/>
      <c r="L74" s="123"/>
      <c r="M74" s="194"/>
      <c r="N74" s="123"/>
      <c r="O74" s="123"/>
      <c r="P74" s="123"/>
      <c r="Q74" s="123"/>
      <c r="AJ74" s="122"/>
      <c r="AW74" s="122"/>
      <c r="AX74" s="122"/>
    </row>
    <row r="75" spans="1:50" ht="12" customHeight="1" x14ac:dyDescent="0.25">
      <c r="A75" s="123"/>
      <c r="B75" s="240"/>
      <c r="C75" s="123"/>
      <c r="D75" s="194"/>
      <c r="E75" s="123"/>
      <c r="F75" s="123"/>
      <c r="G75" s="123"/>
      <c r="H75" s="123"/>
      <c r="I75" s="123"/>
      <c r="J75" s="267"/>
      <c r="K75" s="123"/>
      <c r="L75" s="123"/>
      <c r="M75" s="194"/>
      <c r="N75" s="123"/>
      <c r="O75" s="123"/>
      <c r="P75" s="123"/>
      <c r="Q75" s="123"/>
      <c r="AJ75" s="122"/>
      <c r="AW75" s="122"/>
      <c r="AX75" s="122"/>
    </row>
    <row r="76" spans="1:50" ht="12" customHeight="1" x14ac:dyDescent="0.25">
      <c r="A76" s="123"/>
      <c r="B76" s="240"/>
      <c r="C76" s="123"/>
      <c r="D76" s="194"/>
      <c r="E76" s="123"/>
      <c r="F76" s="123"/>
      <c r="G76" s="123"/>
      <c r="H76" s="123"/>
      <c r="I76" s="123"/>
      <c r="J76" s="267"/>
      <c r="K76" s="1234" t="str">
        <f>FORM!I28</f>
        <v>selller</v>
      </c>
      <c r="L76" s="1234"/>
      <c r="M76" s="1234"/>
      <c r="N76" s="125"/>
      <c r="O76" s="1237" t="str">
        <f>FORM!I26</f>
        <v>buyer</v>
      </c>
      <c r="P76" s="1237"/>
      <c r="Q76" s="1237"/>
      <c r="AJ76" s="122"/>
      <c r="AW76" s="122"/>
      <c r="AX76" s="122"/>
    </row>
    <row r="77" spans="1:50" ht="12" customHeight="1" x14ac:dyDescent="0.25">
      <c r="A77" s="123"/>
      <c r="B77" s="240"/>
      <c r="C77" s="123"/>
      <c r="D77" s="123"/>
      <c r="E77" s="123"/>
      <c r="F77" s="123"/>
      <c r="G77" s="123"/>
      <c r="H77" s="123"/>
      <c r="I77" s="123"/>
      <c r="J77" s="267"/>
      <c r="K77" s="134" t="s">
        <v>73</v>
      </c>
      <c r="L77" s="1235"/>
      <c r="M77" s="1235"/>
      <c r="N77" s="123"/>
      <c r="O77" s="1238" t="s">
        <v>74</v>
      </c>
      <c r="P77" s="1238"/>
      <c r="Q77" s="1238"/>
      <c r="AJ77" s="122"/>
      <c r="AW77" s="122"/>
      <c r="AX77" s="122"/>
    </row>
    <row r="78" spans="1:50" ht="12" customHeight="1" x14ac:dyDescent="0.25">
      <c r="A78" s="123"/>
      <c r="B78" s="240"/>
      <c r="C78" s="123"/>
      <c r="D78" s="123"/>
      <c r="E78" s="123"/>
      <c r="F78" s="123"/>
      <c r="G78" s="123"/>
      <c r="H78" s="123"/>
      <c r="I78" s="123"/>
      <c r="J78" s="267"/>
      <c r="L78" s="122"/>
      <c r="AJ78" s="122"/>
      <c r="AW78" s="122"/>
      <c r="AX78" s="122"/>
    </row>
    <row r="79" spans="1:50" ht="12" customHeight="1" x14ac:dyDescent="0.25">
      <c r="A79" s="123"/>
      <c r="B79" s="240"/>
      <c r="C79" s="123"/>
      <c r="D79" s="123"/>
      <c r="E79" s="123"/>
      <c r="F79" s="123"/>
      <c r="G79" s="123"/>
      <c r="H79" s="123"/>
      <c r="I79" s="123"/>
      <c r="J79" s="267"/>
      <c r="K79" s="232"/>
      <c r="L79" s="123"/>
      <c r="M79" s="259"/>
      <c r="N79" s="123"/>
      <c r="O79" s="123"/>
      <c r="P79" s="123"/>
      <c r="Q79" s="123"/>
      <c r="AJ79" s="122"/>
      <c r="AW79" s="122"/>
      <c r="AX79" s="122"/>
    </row>
    <row r="80" spans="1:50" ht="12" customHeight="1" x14ac:dyDescent="0.25">
      <c r="A80" s="123"/>
      <c r="B80" s="240"/>
      <c r="C80" s="123"/>
      <c r="D80" s="123"/>
      <c r="E80" s="123"/>
      <c r="F80" s="123"/>
      <c r="G80" s="123"/>
      <c r="H80" s="123"/>
      <c r="I80" s="123"/>
      <c r="J80" s="267"/>
      <c r="K80" s="232"/>
      <c r="L80" s="123"/>
      <c r="M80" s="259"/>
      <c r="N80" s="123"/>
      <c r="O80" s="123"/>
      <c r="P80" s="123"/>
      <c r="Q80" s="123"/>
      <c r="AJ80" s="122"/>
      <c r="AW80" s="122"/>
      <c r="AX80" s="122"/>
    </row>
    <row r="81" spans="1:50" ht="12" customHeight="1" x14ac:dyDescent="0.25">
      <c r="A81" s="123"/>
      <c r="B81" s="240"/>
      <c r="C81" s="123"/>
      <c r="D81" s="123"/>
      <c r="E81" s="123"/>
      <c r="F81" s="123"/>
      <c r="G81" s="123"/>
      <c r="H81" s="123"/>
      <c r="I81" s="123"/>
      <c r="J81" s="267"/>
      <c r="K81" s="232"/>
      <c r="L81" s="123"/>
      <c r="M81" s="259"/>
      <c r="N81" s="123"/>
      <c r="O81" s="123"/>
      <c r="P81" s="123"/>
      <c r="Q81" s="123"/>
      <c r="AJ81" s="122"/>
      <c r="AW81" s="122"/>
      <c r="AX81" s="122"/>
    </row>
    <row r="82" spans="1:50" ht="12" customHeight="1" x14ac:dyDescent="0.25">
      <c r="A82" s="123"/>
      <c r="B82" s="240"/>
      <c r="C82" s="123"/>
      <c r="D82" s="123"/>
      <c r="E82" s="123"/>
      <c r="F82" s="123"/>
      <c r="G82" s="123"/>
      <c r="H82" s="123"/>
      <c r="I82" s="123"/>
      <c r="J82" s="267"/>
      <c r="K82" s="232"/>
      <c r="L82" s="123"/>
      <c r="M82" s="259"/>
      <c r="N82" s="123"/>
      <c r="O82" s="123"/>
      <c r="P82" s="123"/>
      <c r="Q82" s="123"/>
      <c r="AJ82" s="122"/>
      <c r="AW82" s="122"/>
      <c r="AX82" s="122"/>
    </row>
    <row r="83" spans="1:50" ht="12" customHeight="1" x14ac:dyDescent="0.25">
      <c r="A83" s="123"/>
      <c r="B83" s="240"/>
      <c r="C83" s="123"/>
      <c r="D83" s="123"/>
      <c r="E83" s="123"/>
      <c r="F83" s="123"/>
      <c r="G83" s="123"/>
      <c r="H83" s="123"/>
      <c r="I83" s="123"/>
      <c r="J83" s="267"/>
      <c r="K83" s="232"/>
      <c r="L83" s="123"/>
      <c r="M83" s="259"/>
      <c r="N83" s="123"/>
      <c r="O83" s="123"/>
      <c r="P83" s="123"/>
      <c r="Q83" s="123"/>
      <c r="AJ83" s="122"/>
      <c r="AW83" s="122"/>
      <c r="AX83" s="122"/>
    </row>
    <row r="84" spans="1:50" ht="12" customHeight="1" x14ac:dyDescent="0.25">
      <c r="A84" s="123"/>
      <c r="B84" s="240"/>
      <c r="C84" s="123"/>
      <c r="D84" s="123"/>
      <c r="E84" s="123"/>
      <c r="F84" s="123"/>
      <c r="G84" s="123"/>
      <c r="H84" s="123"/>
      <c r="I84" s="123"/>
      <c r="J84" s="267"/>
      <c r="K84" s="232"/>
      <c r="L84" s="123"/>
      <c r="M84" s="259"/>
      <c r="N84" s="123"/>
      <c r="O84" s="123"/>
      <c r="P84" s="123"/>
      <c r="Q84" s="123"/>
      <c r="AJ84" s="122"/>
      <c r="AW84" s="122"/>
      <c r="AX84" s="122"/>
    </row>
    <row r="85" spans="1:50" ht="12" customHeight="1" x14ac:dyDescent="0.25">
      <c r="A85" s="123"/>
      <c r="B85" s="240"/>
      <c r="C85" s="123"/>
      <c r="D85" s="123"/>
      <c r="E85" s="123"/>
      <c r="F85" s="123"/>
      <c r="G85" s="123"/>
      <c r="H85" s="123"/>
      <c r="I85" s="123"/>
      <c r="J85" s="267"/>
      <c r="K85" s="232"/>
      <c r="L85" s="123"/>
      <c r="M85" s="259"/>
      <c r="N85" s="123"/>
      <c r="O85" s="123"/>
      <c r="P85" s="123"/>
      <c r="Q85" s="123"/>
      <c r="AJ85" s="122"/>
      <c r="AW85" s="122"/>
      <c r="AX85" s="122"/>
    </row>
    <row r="86" spans="1:50" ht="12.5" x14ac:dyDescent="0.25">
      <c r="A86" s="123"/>
      <c r="B86" s="240"/>
      <c r="C86" s="123"/>
      <c r="D86" s="123"/>
      <c r="E86" s="123"/>
      <c r="F86" s="123"/>
      <c r="G86" s="123"/>
      <c r="H86" s="123"/>
      <c r="I86" s="123"/>
      <c r="J86" s="267"/>
      <c r="K86" s="232"/>
      <c r="L86" s="123"/>
      <c r="M86" s="259"/>
      <c r="N86" s="123"/>
      <c r="O86" s="123"/>
      <c r="P86" s="123"/>
      <c r="Q86" s="123"/>
      <c r="AJ86" s="122"/>
      <c r="AW86" s="122"/>
      <c r="AX86" s="122"/>
    </row>
    <row r="87" spans="1:50" ht="12" customHeight="1" x14ac:dyDescent="0.25">
      <c r="A87" s="123"/>
      <c r="B87" s="240"/>
      <c r="C87" s="123"/>
      <c r="D87" s="123"/>
      <c r="E87" s="123"/>
      <c r="F87" s="123"/>
      <c r="G87" s="123"/>
      <c r="H87" s="123"/>
      <c r="I87" s="123"/>
      <c r="J87" s="267"/>
      <c r="K87" s="232"/>
      <c r="L87" s="123"/>
      <c r="M87" s="259"/>
      <c r="N87" s="123"/>
      <c r="O87" s="123"/>
      <c r="P87" s="123"/>
      <c r="Q87" s="123"/>
      <c r="AJ87" s="122"/>
      <c r="AW87" s="122"/>
      <c r="AX87" s="122"/>
    </row>
    <row r="88" spans="1:50" ht="12" customHeight="1" x14ac:dyDescent="0.25">
      <c r="A88" s="123"/>
      <c r="B88" s="240"/>
      <c r="C88" s="123"/>
      <c r="D88" s="123"/>
      <c r="E88" s="123"/>
      <c r="F88" s="123"/>
      <c r="G88" s="123"/>
      <c r="H88" s="123"/>
      <c r="I88" s="123"/>
      <c r="J88" s="267"/>
      <c r="K88" s="232"/>
      <c r="L88" s="123"/>
      <c r="M88" s="259"/>
      <c r="N88" s="123"/>
      <c r="O88" s="123"/>
      <c r="P88" s="123"/>
      <c r="Q88" s="123"/>
      <c r="AJ88" s="122"/>
      <c r="AW88" s="122"/>
      <c r="AX88" s="122"/>
    </row>
    <row r="89" spans="1:50" ht="12" customHeight="1" x14ac:dyDescent="0.25">
      <c r="A89" s="123"/>
      <c r="B89" s="240"/>
      <c r="C89" s="123"/>
      <c r="D89" s="123"/>
      <c r="E89" s="123"/>
      <c r="F89" s="123"/>
      <c r="G89" s="123"/>
      <c r="H89" s="123"/>
      <c r="I89" s="123"/>
      <c r="J89" s="267"/>
      <c r="K89" s="232"/>
      <c r="L89" s="123"/>
      <c r="M89" s="259"/>
      <c r="N89" s="123"/>
      <c r="O89" s="123"/>
      <c r="P89" s="123"/>
      <c r="Q89" s="123"/>
      <c r="AJ89" s="122"/>
      <c r="AW89" s="122"/>
      <c r="AX89" s="122"/>
    </row>
    <row r="90" spans="1:50" ht="12" customHeight="1" x14ac:dyDescent="0.25">
      <c r="A90" s="123"/>
      <c r="B90" s="240"/>
      <c r="C90" s="123"/>
      <c r="D90" s="123"/>
      <c r="E90" s="123"/>
      <c r="F90" s="123"/>
      <c r="G90" s="123"/>
      <c r="H90" s="123"/>
      <c r="I90" s="123"/>
      <c r="J90" s="267"/>
      <c r="K90" s="232"/>
      <c r="L90" s="123"/>
      <c r="M90" s="259"/>
      <c r="N90" s="123"/>
      <c r="O90" s="123"/>
      <c r="P90" s="123"/>
      <c r="Q90" s="123"/>
      <c r="AJ90" s="122"/>
      <c r="AW90" s="122"/>
      <c r="AX90" s="122"/>
    </row>
    <row r="91" spans="1:50" ht="12" customHeight="1" x14ac:dyDescent="0.25">
      <c r="A91" s="123"/>
      <c r="B91" s="240"/>
      <c r="C91" s="123"/>
      <c r="D91" s="123"/>
      <c r="E91" s="123"/>
      <c r="F91" s="123"/>
      <c r="G91" s="123"/>
      <c r="H91" s="123"/>
      <c r="I91" s="123"/>
      <c r="J91" s="267"/>
      <c r="K91" s="232"/>
      <c r="L91" s="123"/>
      <c r="M91" s="259"/>
      <c r="N91" s="123"/>
      <c r="O91" s="123"/>
      <c r="P91" s="123"/>
      <c r="Q91" s="123"/>
      <c r="AJ91" s="122"/>
      <c r="AW91" s="122"/>
      <c r="AX91" s="122"/>
    </row>
    <row r="92" spans="1:50" ht="12" customHeight="1" x14ac:dyDescent="0.25">
      <c r="A92" s="123"/>
      <c r="B92" s="240"/>
      <c r="C92" s="123"/>
      <c r="D92" s="123"/>
      <c r="E92" s="123"/>
      <c r="F92" s="123"/>
      <c r="G92" s="123"/>
      <c r="H92" s="123"/>
      <c r="I92" s="123"/>
      <c r="J92" s="267"/>
      <c r="K92" s="232"/>
      <c r="L92" s="123"/>
      <c r="M92" s="259"/>
      <c r="N92" s="123"/>
      <c r="O92" s="123"/>
      <c r="P92" s="123"/>
      <c r="Q92" s="123"/>
      <c r="AJ92" s="122"/>
      <c r="AW92" s="122"/>
      <c r="AX92" s="122"/>
    </row>
    <row r="93" spans="1:50" ht="12" customHeight="1" x14ac:dyDescent="0.25">
      <c r="A93" s="123"/>
      <c r="B93" s="240"/>
      <c r="C93" s="123"/>
      <c r="D93" s="123"/>
      <c r="E93" s="123"/>
      <c r="F93" s="123"/>
      <c r="G93" s="123"/>
      <c r="H93" s="123"/>
      <c r="I93" s="123"/>
      <c r="J93" s="267"/>
      <c r="K93" s="232"/>
      <c r="L93" s="123"/>
      <c r="M93" s="259"/>
      <c r="N93" s="123"/>
      <c r="O93" s="123"/>
      <c r="P93" s="123"/>
      <c r="Q93" s="123"/>
      <c r="AJ93" s="122"/>
      <c r="AW93" s="122"/>
      <c r="AX93" s="122"/>
    </row>
    <row r="94" spans="1:50" ht="12" customHeight="1" x14ac:dyDescent="0.25">
      <c r="A94" s="123"/>
      <c r="B94" s="240"/>
      <c r="C94" s="123"/>
      <c r="D94" s="123"/>
      <c r="E94" s="123"/>
      <c r="F94" s="123"/>
      <c r="G94" s="123"/>
      <c r="H94" s="123"/>
      <c r="I94" s="123"/>
      <c r="J94" s="267"/>
      <c r="K94" s="232"/>
      <c r="L94" s="123"/>
      <c r="M94" s="259"/>
      <c r="N94" s="123"/>
      <c r="O94" s="123"/>
      <c r="P94" s="123"/>
      <c r="Q94" s="123"/>
      <c r="AJ94" s="122"/>
      <c r="AW94" s="122"/>
      <c r="AX94" s="122"/>
    </row>
    <row r="95" spans="1:50" ht="12" customHeight="1" x14ac:dyDescent="0.25">
      <c r="A95" s="123"/>
      <c r="B95" s="240"/>
      <c r="C95" s="123"/>
      <c r="D95" s="123"/>
      <c r="E95" s="123"/>
      <c r="F95" s="123"/>
      <c r="G95" s="123"/>
      <c r="H95" s="123"/>
      <c r="I95" s="123"/>
      <c r="J95" s="267"/>
      <c r="K95" s="232"/>
      <c r="L95" s="123"/>
      <c r="M95" s="259"/>
      <c r="N95" s="123"/>
      <c r="O95" s="123"/>
      <c r="P95" s="123"/>
      <c r="Q95" s="123"/>
      <c r="AJ95" s="122"/>
      <c r="AW95" s="122"/>
      <c r="AX95" s="122"/>
    </row>
    <row r="96" spans="1:50" ht="12" customHeight="1" x14ac:dyDescent="0.25">
      <c r="A96" s="123"/>
      <c r="B96" s="240"/>
      <c r="C96" s="123"/>
      <c r="D96" s="123"/>
      <c r="E96" s="123"/>
      <c r="F96" s="123"/>
      <c r="G96" s="123"/>
      <c r="H96" s="123"/>
      <c r="I96" s="123"/>
      <c r="J96" s="267"/>
      <c r="K96" s="232"/>
      <c r="L96" s="123"/>
      <c r="M96" s="259"/>
      <c r="N96" s="123"/>
      <c r="O96" s="123"/>
      <c r="P96" s="123"/>
      <c r="Q96" s="123"/>
      <c r="AJ96" s="122"/>
      <c r="AW96" s="122"/>
      <c r="AX96" s="122"/>
    </row>
    <row r="97" spans="1:50" ht="12" customHeight="1" x14ac:dyDescent="0.25">
      <c r="A97" s="123"/>
      <c r="B97" s="240"/>
      <c r="C97" s="123"/>
      <c r="D97" s="123"/>
      <c r="E97" s="123"/>
      <c r="F97" s="123"/>
      <c r="G97" s="123"/>
      <c r="H97" s="123"/>
      <c r="I97" s="123"/>
      <c r="J97" s="267"/>
      <c r="K97" s="232"/>
      <c r="L97" s="123"/>
      <c r="M97" s="259"/>
      <c r="N97" s="123"/>
      <c r="O97" s="123"/>
      <c r="P97" s="123"/>
      <c r="Q97" s="123"/>
      <c r="AJ97" s="122"/>
      <c r="AW97" s="122"/>
      <c r="AX97" s="122"/>
    </row>
    <row r="98" spans="1:50" ht="12" customHeight="1" x14ac:dyDescent="0.25">
      <c r="A98" s="123"/>
      <c r="B98" s="240"/>
      <c r="C98" s="123"/>
      <c r="D98" s="123"/>
      <c r="E98" s="123"/>
      <c r="F98" s="123"/>
      <c r="G98" s="123"/>
      <c r="H98" s="123"/>
      <c r="I98" s="123"/>
      <c r="J98" s="267"/>
      <c r="K98" s="232"/>
      <c r="L98" s="123"/>
      <c r="M98" s="259"/>
      <c r="N98" s="123"/>
      <c r="O98" s="123"/>
      <c r="P98" s="123"/>
      <c r="Q98" s="123"/>
      <c r="AJ98" s="122"/>
      <c r="AW98" s="122"/>
      <c r="AX98" s="122"/>
    </row>
    <row r="99" spans="1:50" ht="12" customHeight="1" x14ac:dyDescent="0.25">
      <c r="A99" s="123"/>
      <c r="B99" s="240"/>
      <c r="C99" s="123"/>
      <c r="D99" s="123"/>
      <c r="E99" s="123"/>
      <c r="F99" s="123"/>
      <c r="G99" s="123"/>
      <c r="H99" s="123"/>
      <c r="I99" s="123"/>
      <c r="J99" s="267"/>
      <c r="K99" s="232"/>
      <c r="L99" s="123"/>
      <c r="M99" s="259"/>
      <c r="N99" s="123"/>
      <c r="O99" s="123"/>
      <c r="P99" s="123"/>
      <c r="Q99" s="123"/>
      <c r="AJ99" s="122"/>
      <c r="AW99" s="122"/>
      <c r="AX99" s="122"/>
    </row>
    <row r="100" spans="1:50" ht="12" customHeight="1" x14ac:dyDescent="0.25">
      <c r="A100" s="123"/>
      <c r="B100" s="240"/>
      <c r="C100" s="123"/>
      <c r="D100" s="123"/>
      <c r="E100" s="123"/>
      <c r="F100" s="123"/>
      <c r="G100" s="123"/>
      <c r="H100" s="123"/>
      <c r="I100" s="123"/>
      <c r="J100" s="267"/>
      <c r="K100" s="232"/>
      <c r="L100" s="123"/>
      <c r="M100" s="259"/>
      <c r="N100" s="123"/>
      <c r="O100" s="123"/>
      <c r="P100" s="123"/>
      <c r="Q100" s="123"/>
      <c r="AJ100" s="122"/>
      <c r="AW100" s="122"/>
      <c r="AX100" s="122"/>
    </row>
    <row r="101" spans="1:50" ht="12" customHeight="1" x14ac:dyDescent="0.25">
      <c r="A101" s="123"/>
      <c r="B101" s="240"/>
      <c r="C101" s="123"/>
      <c r="D101" s="123"/>
      <c r="E101" s="123"/>
      <c r="F101" s="123"/>
      <c r="G101" s="123"/>
      <c r="H101" s="123"/>
      <c r="I101" s="123"/>
      <c r="J101" s="267"/>
      <c r="K101" s="232"/>
      <c r="L101" s="123"/>
      <c r="M101" s="259"/>
      <c r="N101" s="123"/>
      <c r="O101" s="123"/>
      <c r="P101" s="123"/>
      <c r="Q101" s="123"/>
      <c r="AJ101" s="122"/>
      <c r="AW101" s="122"/>
      <c r="AX101" s="122"/>
    </row>
    <row r="102" spans="1:50" ht="12" customHeight="1" x14ac:dyDescent="0.25">
      <c r="A102" s="123"/>
      <c r="B102" s="240"/>
      <c r="C102" s="123"/>
      <c r="D102" s="123"/>
      <c r="E102" s="123"/>
      <c r="F102" s="123"/>
      <c r="G102" s="123"/>
      <c r="H102" s="123"/>
      <c r="I102" s="123"/>
      <c r="J102" s="267"/>
      <c r="K102" s="232"/>
      <c r="L102" s="123"/>
      <c r="M102" s="259"/>
      <c r="N102" s="123"/>
      <c r="O102" s="123"/>
      <c r="P102" s="123"/>
      <c r="Q102" s="123"/>
      <c r="AJ102" s="122"/>
      <c r="AW102" s="122"/>
      <c r="AX102" s="122"/>
    </row>
    <row r="103" spans="1:50" ht="12" customHeight="1" x14ac:dyDescent="0.25">
      <c r="A103" s="123"/>
      <c r="B103" s="240"/>
      <c r="C103" s="123"/>
      <c r="D103" s="123"/>
      <c r="E103" s="123"/>
      <c r="F103" s="123"/>
      <c r="G103" s="123"/>
      <c r="H103" s="123"/>
      <c r="I103" s="123"/>
      <c r="J103" s="267"/>
      <c r="K103" s="232"/>
      <c r="L103" s="123"/>
      <c r="M103" s="259"/>
      <c r="N103" s="123"/>
      <c r="O103" s="123"/>
      <c r="P103" s="123"/>
      <c r="Q103" s="123"/>
      <c r="AJ103" s="122"/>
      <c r="AW103" s="122"/>
      <c r="AX103" s="122"/>
    </row>
    <row r="104" spans="1:50" ht="12" customHeight="1" x14ac:dyDescent="0.25">
      <c r="A104" s="123"/>
      <c r="B104" s="240"/>
      <c r="C104" s="123"/>
      <c r="D104" s="123"/>
      <c r="E104" s="123"/>
      <c r="F104" s="123"/>
      <c r="G104" s="123"/>
      <c r="H104" s="123"/>
      <c r="I104" s="123"/>
      <c r="J104" s="267"/>
      <c r="K104" s="232"/>
      <c r="L104" s="123"/>
      <c r="M104" s="259"/>
      <c r="N104" s="123"/>
      <c r="O104" s="123"/>
      <c r="P104" s="123"/>
      <c r="Q104" s="123"/>
      <c r="AJ104" s="122"/>
      <c r="AW104" s="122"/>
      <c r="AX104" s="122"/>
    </row>
    <row r="105" spans="1:50" ht="12" customHeight="1" x14ac:dyDescent="0.25">
      <c r="A105" s="123"/>
      <c r="B105" s="240"/>
      <c r="C105" s="123"/>
      <c r="D105" s="123"/>
      <c r="E105" s="123"/>
      <c r="F105" s="123"/>
      <c r="G105" s="123"/>
      <c r="H105" s="123"/>
      <c r="I105" s="123"/>
      <c r="J105" s="267"/>
      <c r="K105" s="232"/>
      <c r="L105" s="123"/>
      <c r="M105" s="259"/>
      <c r="N105" s="123"/>
      <c r="O105" s="123"/>
      <c r="P105" s="123"/>
      <c r="Q105" s="123"/>
      <c r="AJ105" s="122"/>
      <c r="AW105" s="122"/>
      <c r="AX105" s="122"/>
    </row>
    <row r="106" spans="1:50" ht="12" customHeight="1" x14ac:dyDescent="0.25">
      <c r="A106" s="123"/>
      <c r="B106" s="240"/>
      <c r="C106" s="123"/>
      <c r="D106" s="123"/>
      <c r="E106" s="123"/>
      <c r="F106" s="123"/>
      <c r="G106" s="123"/>
      <c r="H106" s="123"/>
      <c r="I106" s="123"/>
      <c r="J106" s="267"/>
      <c r="K106" s="232"/>
      <c r="L106" s="123"/>
      <c r="M106" s="259"/>
      <c r="N106" s="123"/>
      <c r="O106" s="123"/>
      <c r="P106" s="123"/>
      <c r="Q106" s="123"/>
      <c r="AJ106" s="122"/>
      <c r="AW106" s="122"/>
      <c r="AX106" s="122"/>
    </row>
    <row r="107" spans="1:50" ht="12" customHeight="1" x14ac:dyDescent="0.25">
      <c r="A107" s="123"/>
      <c r="B107" s="240"/>
      <c r="C107" s="123"/>
      <c r="D107" s="123"/>
      <c r="E107" s="123"/>
      <c r="F107" s="123"/>
      <c r="G107" s="123"/>
      <c r="H107" s="123"/>
      <c r="I107" s="123"/>
      <c r="J107" s="267"/>
      <c r="K107" s="232"/>
      <c r="L107" s="123"/>
      <c r="M107" s="259"/>
      <c r="N107" s="123"/>
      <c r="O107" s="123"/>
      <c r="P107" s="123"/>
      <c r="Q107" s="123"/>
      <c r="AJ107" s="122"/>
      <c r="AW107" s="122"/>
      <c r="AX107" s="122"/>
    </row>
    <row r="108" spans="1:50" ht="12" customHeight="1" x14ac:dyDescent="0.25">
      <c r="A108" s="123"/>
      <c r="B108" s="240"/>
      <c r="C108" s="123"/>
      <c r="D108" s="123"/>
      <c r="E108" s="123"/>
      <c r="F108" s="123"/>
      <c r="G108" s="123"/>
      <c r="H108" s="123"/>
      <c r="I108" s="123"/>
      <c r="J108" s="267"/>
      <c r="K108" s="232"/>
      <c r="L108" s="123"/>
      <c r="M108" s="259"/>
      <c r="N108" s="123"/>
      <c r="O108" s="123"/>
      <c r="P108" s="123"/>
      <c r="Q108" s="123"/>
      <c r="AJ108" s="122"/>
      <c r="AW108" s="122"/>
      <c r="AX108" s="122"/>
    </row>
    <row r="109" spans="1:50" ht="12" customHeight="1" x14ac:dyDescent="0.25">
      <c r="A109" s="123"/>
      <c r="B109" s="240"/>
      <c r="C109" s="123"/>
      <c r="D109" s="123"/>
      <c r="E109" s="123"/>
      <c r="F109" s="123"/>
      <c r="G109" s="123"/>
      <c r="H109" s="123"/>
      <c r="I109" s="123"/>
      <c r="J109" s="267"/>
      <c r="K109" s="232"/>
      <c r="L109" s="123"/>
      <c r="M109" s="259"/>
      <c r="N109" s="123"/>
      <c r="O109" s="123"/>
      <c r="P109" s="123"/>
      <c r="Q109" s="123"/>
      <c r="AJ109" s="122"/>
      <c r="AW109" s="122"/>
      <c r="AX109" s="122"/>
    </row>
    <row r="110" spans="1:50" ht="12" customHeight="1" x14ac:dyDescent="0.25">
      <c r="A110" s="123"/>
      <c r="B110" s="240"/>
      <c r="C110" s="123"/>
      <c r="D110" s="123"/>
      <c r="E110" s="123"/>
      <c r="F110" s="123"/>
      <c r="G110" s="123"/>
      <c r="H110" s="123"/>
      <c r="I110" s="123"/>
      <c r="J110" s="267"/>
      <c r="K110" s="232"/>
      <c r="L110" s="123"/>
      <c r="M110" s="259"/>
      <c r="N110" s="123"/>
      <c r="O110" s="123"/>
      <c r="P110" s="123"/>
      <c r="Q110" s="123"/>
      <c r="AJ110" s="122"/>
      <c r="AW110" s="122"/>
      <c r="AX110" s="122"/>
    </row>
    <row r="111" spans="1:50" ht="12" customHeight="1" x14ac:dyDescent="0.25">
      <c r="A111" s="123"/>
      <c r="B111" s="240"/>
      <c r="C111" s="123"/>
      <c r="D111" s="123"/>
      <c r="E111" s="123"/>
      <c r="F111" s="123"/>
      <c r="G111" s="123"/>
      <c r="H111" s="123"/>
      <c r="I111" s="123"/>
      <c r="J111" s="267"/>
      <c r="K111" s="232"/>
      <c r="L111" s="123"/>
      <c r="M111" s="259"/>
      <c r="N111" s="123"/>
      <c r="O111" s="123"/>
      <c r="P111" s="123"/>
      <c r="Q111" s="123"/>
      <c r="AJ111" s="122"/>
      <c r="AW111" s="122"/>
      <c r="AX111" s="122"/>
    </row>
    <row r="112" spans="1:50" ht="12" customHeight="1" x14ac:dyDescent="0.25">
      <c r="A112" s="123"/>
      <c r="B112" s="240"/>
      <c r="C112" s="123"/>
      <c r="D112" s="123"/>
      <c r="E112" s="123"/>
      <c r="F112" s="123"/>
      <c r="G112" s="123"/>
      <c r="H112" s="123"/>
      <c r="I112" s="123"/>
      <c r="J112" s="267"/>
      <c r="K112" s="232"/>
      <c r="L112" s="123"/>
      <c r="M112" s="259"/>
      <c r="N112" s="123"/>
      <c r="O112" s="123"/>
      <c r="P112" s="123"/>
      <c r="Q112" s="123"/>
      <c r="AJ112" s="122"/>
      <c r="AW112" s="122"/>
      <c r="AX112" s="122"/>
    </row>
    <row r="113" spans="1:50" ht="12" customHeight="1" x14ac:dyDescent="0.25">
      <c r="A113" s="123"/>
      <c r="B113" s="240"/>
      <c r="C113" s="123"/>
      <c r="D113" s="123"/>
      <c r="E113" s="123"/>
      <c r="F113" s="123"/>
      <c r="G113" s="123"/>
      <c r="H113" s="123"/>
      <c r="I113" s="123"/>
      <c r="J113" s="267"/>
      <c r="K113" s="232"/>
      <c r="L113" s="123"/>
      <c r="M113" s="259"/>
      <c r="N113" s="123"/>
      <c r="O113" s="123"/>
      <c r="P113" s="123"/>
      <c r="Q113" s="123"/>
      <c r="AJ113" s="122"/>
      <c r="AW113" s="122"/>
      <c r="AX113" s="122"/>
    </row>
    <row r="114" spans="1:50" ht="12" customHeight="1" x14ac:dyDescent="0.25">
      <c r="A114" s="123"/>
      <c r="B114" s="240"/>
      <c r="C114" s="123"/>
      <c r="D114" s="123"/>
      <c r="E114" s="123"/>
      <c r="F114" s="123"/>
      <c r="G114" s="123"/>
      <c r="H114" s="123"/>
      <c r="I114" s="123"/>
      <c r="J114" s="267"/>
      <c r="K114" s="232"/>
      <c r="L114" s="123"/>
      <c r="M114" s="259"/>
      <c r="N114" s="123"/>
      <c r="O114" s="123"/>
      <c r="P114" s="123"/>
      <c r="Q114" s="123"/>
      <c r="AJ114" s="122"/>
      <c r="AW114" s="122"/>
      <c r="AX114" s="122"/>
    </row>
    <row r="115" spans="1:50" ht="12" customHeight="1" x14ac:dyDescent="0.25">
      <c r="A115" s="123"/>
      <c r="B115" s="240"/>
      <c r="C115" s="123"/>
      <c r="D115" s="123"/>
      <c r="E115" s="123"/>
      <c r="F115" s="123"/>
      <c r="G115" s="123"/>
      <c r="H115" s="123"/>
      <c r="I115" s="123"/>
      <c r="J115" s="267"/>
      <c r="K115" s="232"/>
      <c r="L115" s="123"/>
      <c r="M115" s="259"/>
      <c r="N115" s="123"/>
      <c r="O115" s="123"/>
      <c r="P115" s="123"/>
      <c r="Q115" s="123"/>
      <c r="AJ115" s="122"/>
      <c r="AW115" s="122"/>
      <c r="AX115" s="122"/>
    </row>
    <row r="116" spans="1:50" ht="12" customHeight="1" x14ac:dyDescent="0.25">
      <c r="A116" s="123"/>
      <c r="B116" s="240"/>
      <c r="C116" s="123"/>
      <c r="D116" s="123"/>
      <c r="E116" s="123"/>
      <c r="F116" s="123"/>
      <c r="G116" s="123"/>
      <c r="H116" s="123"/>
      <c r="I116" s="123"/>
      <c r="J116" s="267"/>
      <c r="K116" s="232"/>
      <c r="L116" s="123"/>
      <c r="M116" s="259"/>
      <c r="N116" s="123"/>
      <c r="O116" s="123"/>
      <c r="P116" s="123"/>
      <c r="Q116" s="123"/>
      <c r="AJ116" s="122"/>
      <c r="AW116" s="122"/>
      <c r="AX116" s="122"/>
    </row>
    <row r="117" spans="1:50" ht="12" customHeight="1" x14ac:dyDescent="0.25">
      <c r="A117" s="123"/>
      <c r="B117" s="240"/>
      <c r="C117" s="123"/>
      <c r="D117" s="123"/>
      <c r="E117" s="123"/>
      <c r="F117" s="123"/>
      <c r="G117" s="123"/>
      <c r="H117" s="123"/>
      <c r="I117" s="123"/>
      <c r="J117" s="267"/>
      <c r="K117" s="232"/>
      <c r="L117" s="123"/>
      <c r="M117" s="259"/>
      <c r="N117" s="123"/>
      <c r="O117" s="123"/>
      <c r="P117" s="123"/>
      <c r="Q117" s="123"/>
      <c r="AJ117" s="122"/>
      <c r="AW117" s="122"/>
      <c r="AX117" s="122"/>
    </row>
    <row r="118" spans="1:50" ht="12" customHeight="1" x14ac:dyDescent="0.25">
      <c r="A118" s="123"/>
      <c r="B118" s="240"/>
      <c r="C118" s="123"/>
      <c r="D118" s="123"/>
      <c r="E118" s="123"/>
      <c r="F118" s="123"/>
      <c r="G118" s="123"/>
      <c r="H118" s="123"/>
      <c r="I118" s="123"/>
      <c r="J118" s="267"/>
      <c r="K118" s="232"/>
      <c r="L118" s="123"/>
      <c r="M118" s="259"/>
      <c r="N118" s="123"/>
      <c r="O118" s="123"/>
      <c r="P118" s="123"/>
      <c r="Q118" s="123"/>
      <c r="AJ118" s="122"/>
      <c r="AW118" s="122"/>
      <c r="AX118" s="122"/>
    </row>
    <row r="119" spans="1:50" ht="12" customHeight="1" x14ac:dyDescent="0.25">
      <c r="A119" s="123"/>
      <c r="B119" s="240"/>
      <c r="C119" s="123"/>
      <c r="D119" s="123"/>
      <c r="E119" s="123"/>
      <c r="F119" s="123"/>
      <c r="G119" s="123"/>
      <c r="H119" s="123"/>
      <c r="I119" s="123"/>
      <c r="J119" s="267"/>
      <c r="K119" s="232"/>
      <c r="L119" s="123"/>
      <c r="M119" s="259"/>
      <c r="N119" s="123"/>
      <c r="O119" s="123"/>
      <c r="P119" s="123"/>
      <c r="Q119" s="123"/>
      <c r="AJ119" s="122"/>
      <c r="AW119" s="122"/>
      <c r="AX119" s="122"/>
    </row>
    <row r="120" spans="1:50" ht="12" customHeight="1" x14ac:dyDescent="0.25">
      <c r="A120" s="123"/>
      <c r="B120" s="240"/>
      <c r="C120" s="123"/>
      <c r="D120" s="123"/>
      <c r="E120" s="123"/>
      <c r="F120" s="123"/>
      <c r="G120" s="123"/>
      <c r="H120" s="123"/>
      <c r="I120" s="123"/>
      <c r="J120" s="267"/>
      <c r="K120" s="232"/>
      <c r="L120" s="123"/>
      <c r="M120" s="259"/>
      <c r="N120" s="123"/>
      <c r="O120" s="123"/>
      <c r="P120" s="123"/>
      <c r="Q120" s="123"/>
      <c r="AJ120" s="122"/>
      <c r="AW120" s="122"/>
      <c r="AX120" s="122"/>
    </row>
    <row r="121" spans="1:50" ht="12" customHeight="1" x14ac:dyDescent="0.25">
      <c r="A121" s="123"/>
      <c r="B121" s="240"/>
      <c r="C121" s="123"/>
      <c r="D121" s="123"/>
      <c r="E121" s="123"/>
      <c r="F121" s="123"/>
      <c r="G121" s="123"/>
      <c r="H121" s="123"/>
      <c r="I121" s="123"/>
      <c r="J121" s="267"/>
      <c r="K121" s="232"/>
      <c r="L121" s="123"/>
      <c r="M121" s="259"/>
      <c r="N121" s="123"/>
      <c r="O121" s="123"/>
      <c r="P121" s="123"/>
      <c r="Q121" s="123"/>
      <c r="AJ121" s="122"/>
      <c r="AW121" s="122"/>
      <c r="AX121" s="122"/>
    </row>
    <row r="122" spans="1:50" ht="12" customHeight="1" x14ac:dyDescent="0.25">
      <c r="A122" s="123"/>
      <c r="B122" s="240"/>
      <c r="C122" s="123"/>
      <c r="D122" s="123"/>
      <c r="E122" s="123"/>
      <c r="F122" s="123"/>
      <c r="G122" s="123"/>
      <c r="H122" s="123"/>
      <c r="I122" s="123"/>
      <c r="J122" s="267"/>
      <c r="K122" s="232"/>
      <c r="L122" s="123"/>
      <c r="M122" s="259"/>
      <c r="N122" s="123"/>
      <c r="O122" s="123"/>
      <c r="P122" s="123"/>
      <c r="Q122" s="123"/>
      <c r="AJ122" s="122"/>
      <c r="AW122" s="122"/>
      <c r="AX122" s="122"/>
    </row>
    <row r="123" spans="1:50" ht="12" customHeight="1" x14ac:dyDescent="0.25">
      <c r="A123" s="123"/>
      <c r="B123" s="240"/>
      <c r="C123" s="123"/>
      <c r="D123" s="123"/>
      <c r="E123" s="123"/>
      <c r="F123" s="123"/>
      <c r="G123" s="123"/>
      <c r="H123" s="123"/>
      <c r="I123" s="123"/>
      <c r="J123" s="267"/>
      <c r="K123" s="232"/>
      <c r="L123" s="123"/>
      <c r="M123" s="259"/>
      <c r="N123" s="123"/>
      <c r="O123" s="123"/>
      <c r="P123" s="123"/>
      <c r="Q123" s="123"/>
      <c r="AJ123" s="122"/>
      <c r="AW123" s="122"/>
      <c r="AX123" s="122"/>
    </row>
    <row r="124" spans="1:50" ht="12" customHeight="1" x14ac:dyDescent="0.25">
      <c r="A124" s="123"/>
      <c r="B124" s="240"/>
      <c r="C124" s="123"/>
      <c r="D124" s="123"/>
      <c r="E124" s="123"/>
      <c r="F124" s="123"/>
      <c r="G124" s="123"/>
      <c r="H124" s="123"/>
      <c r="I124" s="123"/>
      <c r="J124" s="267"/>
      <c r="K124" s="232"/>
      <c r="L124" s="123"/>
      <c r="M124" s="259"/>
      <c r="N124" s="123"/>
      <c r="O124" s="123"/>
      <c r="P124" s="123"/>
      <c r="Q124" s="123"/>
      <c r="AJ124" s="122"/>
      <c r="AW124" s="122"/>
      <c r="AX124" s="122"/>
    </row>
    <row r="125" spans="1:50" ht="12" customHeight="1" x14ac:dyDescent="0.25">
      <c r="A125" s="123"/>
      <c r="B125" s="240"/>
      <c r="C125" s="123"/>
      <c r="D125" s="123"/>
      <c r="E125" s="123"/>
      <c r="F125" s="123"/>
      <c r="G125" s="123"/>
      <c r="H125" s="123"/>
      <c r="I125" s="123"/>
      <c r="J125" s="267"/>
      <c r="K125" s="232"/>
      <c r="L125" s="123"/>
      <c r="M125" s="259"/>
      <c r="N125" s="123"/>
      <c r="O125" s="123"/>
      <c r="P125" s="123"/>
      <c r="Q125" s="123"/>
      <c r="AJ125" s="122"/>
      <c r="AW125" s="122"/>
      <c r="AX125" s="122"/>
    </row>
    <row r="126" spans="1:50" ht="12" customHeight="1" x14ac:dyDescent="0.25">
      <c r="A126" s="123"/>
      <c r="B126" s="240"/>
      <c r="C126" s="123"/>
      <c r="D126" s="123"/>
      <c r="E126" s="123"/>
      <c r="F126" s="123"/>
      <c r="G126" s="123"/>
      <c r="H126" s="123"/>
      <c r="I126" s="123"/>
      <c r="J126" s="267"/>
      <c r="K126" s="232"/>
      <c r="L126" s="123"/>
      <c r="M126" s="259"/>
      <c r="N126" s="123"/>
      <c r="O126" s="123"/>
      <c r="P126" s="123"/>
      <c r="Q126" s="123"/>
      <c r="AJ126" s="122"/>
      <c r="AW126" s="122"/>
      <c r="AX126" s="122"/>
    </row>
    <row r="127" spans="1:50" ht="12" customHeight="1" x14ac:dyDescent="0.25">
      <c r="A127" s="123"/>
      <c r="B127" s="240"/>
      <c r="C127" s="123"/>
      <c r="D127" s="123"/>
      <c r="E127" s="123"/>
      <c r="F127" s="123"/>
      <c r="G127" s="123"/>
      <c r="H127" s="123"/>
      <c r="I127" s="123"/>
      <c r="J127" s="267"/>
      <c r="K127" s="232"/>
      <c r="L127" s="123"/>
      <c r="M127" s="259"/>
      <c r="N127" s="123"/>
      <c r="O127" s="123"/>
      <c r="P127" s="123"/>
      <c r="Q127" s="123"/>
      <c r="AJ127" s="122"/>
      <c r="AW127" s="122"/>
      <c r="AX127" s="122"/>
    </row>
    <row r="128" spans="1:50" ht="12" customHeight="1" x14ac:dyDescent="0.25">
      <c r="A128" s="123"/>
      <c r="B128" s="240"/>
      <c r="C128" s="123"/>
      <c r="D128" s="123"/>
      <c r="E128" s="123"/>
      <c r="F128" s="123"/>
      <c r="G128" s="123"/>
      <c r="H128" s="123"/>
      <c r="I128" s="123"/>
      <c r="J128" s="267"/>
      <c r="K128" s="232"/>
      <c r="L128" s="123"/>
      <c r="M128" s="259"/>
      <c r="N128" s="123"/>
      <c r="O128" s="123"/>
      <c r="P128" s="123"/>
      <c r="Q128" s="123"/>
      <c r="AJ128" s="122"/>
      <c r="AW128" s="122"/>
      <c r="AX128" s="122"/>
    </row>
    <row r="129" spans="1:50" ht="12" customHeight="1" x14ac:dyDescent="0.25">
      <c r="A129" s="123"/>
      <c r="B129" s="240"/>
      <c r="C129" s="123"/>
      <c r="D129" s="123"/>
      <c r="E129" s="123"/>
      <c r="F129" s="123"/>
      <c r="G129" s="123"/>
      <c r="H129" s="123"/>
      <c r="I129" s="123"/>
      <c r="J129" s="267"/>
      <c r="K129" s="232"/>
      <c r="L129" s="123"/>
      <c r="M129" s="259"/>
      <c r="N129" s="123"/>
      <c r="O129" s="123"/>
      <c r="P129" s="123"/>
      <c r="Q129" s="123"/>
      <c r="AJ129" s="122"/>
      <c r="AW129" s="122"/>
      <c r="AX129" s="122"/>
    </row>
    <row r="130" spans="1:50" ht="12" customHeight="1" x14ac:dyDescent="0.25">
      <c r="A130" s="123"/>
      <c r="B130" s="240"/>
      <c r="C130" s="123"/>
      <c r="D130" s="123"/>
      <c r="E130" s="123"/>
      <c r="F130" s="123"/>
      <c r="G130" s="123"/>
      <c r="H130" s="123"/>
      <c r="I130" s="123"/>
      <c r="J130" s="267"/>
      <c r="K130" s="232"/>
      <c r="L130" s="123"/>
      <c r="M130" s="259"/>
      <c r="N130" s="123"/>
      <c r="O130" s="123"/>
      <c r="P130" s="123"/>
      <c r="Q130" s="123"/>
      <c r="AJ130" s="122"/>
      <c r="AW130" s="122"/>
      <c r="AX130" s="122"/>
    </row>
    <row r="131" spans="1:50" ht="12" customHeight="1" x14ac:dyDescent="0.25">
      <c r="A131" s="123"/>
      <c r="B131" s="240"/>
      <c r="C131" s="123"/>
      <c r="D131" s="123"/>
      <c r="E131" s="123"/>
      <c r="F131" s="123"/>
      <c r="G131" s="123"/>
      <c r="H131" s="123"/>
      <c r="I131" s="123"/>
      <c r="J131" s="267"/>
      <c r="K131" s="232"/>
      <c r="L131" s="123"/>
      <c r="M131" s="259"/>
      <c r="N131" s="123"/>
      <c r="O131" s="123"/>
      <c r="P131" s="123"/>
      <c r="Q131" s="123"/>
      <c r="AJ131" s="122"/>
      <c r="AW131" s="122"/>
      <c r="AX131" s="122"/>
    </row>
    <row r="132" spans="1:50" ht="12" customHeight="1" x14ac:dyDescent="0.25">
      <c r="A132" s="123"/>
      <c r="B132" s="240"/>
      <c r="C132" s="123"/>
      <c r="D132" s="123"/>
      <c r="E132" s="123"/>
      <c r="F132" s="123"/>
      <c r="G132" s="123"/>
      <c r="H132" s="123"/>
      <c r="I132" s="123"/>
      <c r="J132" s="267"/>
      <c r="K132" s="232"/>
      <c r="L132" s="123"/>
      <c r="M132" s="259"/>
      <c r="N132" s="123"/>
      <c r="O132" s="123"/>
      <c r="P132" s="123"/>
      <c r="Q132" s="123"/>
      <c r="AJ132" s="122"/>
      <c r="AW132" s="122"/>
      <c r="AX132" s="122"/>
    </row>
    <row r="133" spans="1:50" ht="12" customHeight="1" x14ac:dyDescent="0.25">
      <c r="A133" s="123"/>
      <c r="B133" s="240"/>
      <c r="C133" s="123"/>
      <c r="D133" s="123"/>
      <c r="E133" s="123"/>
      <c r="F133" s="123"/>
      <c r="G133" s="123"/>
      <c r="H133" s="123"/>
      <c r="I133" s="123"/>
      <c r="J133" s="267"/>
      <c r="K133" s="232"/>
      <c r="L133" s="123"/>
      <c r="M133" s="259"/>
      <c r="N133" s="123"/>
      <c r="O133" s="123"/>
      <c r="P133" s="123"/>
      <c r="Q133" s="123"/>
      <c r="AJ133" s="122"/>
      <c r="AW133" s="122"/>
      <c r="AX133" s="122"/>
    </row>
    <row r="134" spans="1:50" ht="12" customHeight="1" x14ac:dyDescent="0.25">
      <c r="A134" s="123"/>
      <c r="B134" s="240"/>
      <c r="C134" s="123"/>
      <c r="D134" s="123"/>
      <c r="E134" s="123"/>
      <c r="F134" s="123"/>
      <c r="G134" s="123"/>
      <c r="H134" s="123"/>
      <c r="I134" s="123"/>
      <c r="J134" s="267"/>
      <c r="K134" s="232"/>
      <c r="L134" s="123"/>
      <c r="M134" s="259"/>
      <c r="N134" s="123"/>
      <c r="O134" s="123"/>
      <c r="P134" s="123"/>
      <c r="Q134" s="123"/>
      <c r="AJ134" s="122"/>
      <c r="AW134" s="122"/>
      <c r="AX134" s="122"/>
    </row>
    <row r="135" spans="1:50" ht="12" customHeight="1" x14ac:dyDescent="0.25">
      <c r="A135" s="123"/>
      <c r="B135" s="240"/>
      <c r="C135" s="123"/>
      <c r="D135" s="123"/>
      <c r="E135" s="123"/>
      <c r="F135" s="123"/>
      <c r="G135" s="123"/>
      <c r="H135" s="123"/>
      <c r="I135" s="123"/>
      <c r="J135" s="267"/>
      <c r="K135" s="232"/>
      <c r="L135" s="123"/>
      <c r="M135" s="259"/>
      <c r="N135" s="123"/>
      <c r="O135" s="123"/>
      <c r="P135" s="123"/>
      <c r="Q135" s="123"/>
      <c r="AJ135" s="122"/>
      <c r="AW135" s="122"/>
      <c r="AX135" s="122"/>
    </row>
    <row r="136" spans="1:50" ht="12" customHeight="1" x14ac:dyDescent="0.25">
      <c r="A136" s="123"/>
      <c r="B136" s="240"/>
      <c r="C136" s="123"/>
      <c r="D136" s="123"/>
      <c r="E136" s="123"/>
      <c r="F136" s="123"/>
      <c r="G136" s="123"/>
      <c r="H136" s="123"/>
      <c r="I136" s="123"/>
      <c r="J136" s="267"/>
      <c r="K136" s="232"/>
      <c r="L136" s="123"/>
      <c r="M136" s="259"/>
      <c r="N136" s="123"/>
      <c r="O136" s="123"/>
      <c r="P136" s="123"/>
      <c r="Q136" s="123"/>
      <c r="AJ136" s="122"/>
      <c r="AW136" s="122"/>
      <c r="AX136" s="122"/>
    </row>
    <row r="137" spans="1:50" ht="12" customHeight="1" x14ac:dyDescent="0.25">
      <c r="A137" s="123"/>
      <c r="B137" s="240"/>
      <c r="C137" s="123"/>
      <c r="D137" s="123"/>
      <c r="E137" s="123"/>
      <c r="F137" s="123"/>
      <c r="G137" s="123"/>
      <c r="H137" s="123"/>
      <c r="I137" s="123"/>
      <c r="J137" s="267"/>
      <c r="K137" s="232"/>
      <c r="L137" s="123"/>
      <c r="M137" s="259"/>
      <c r="N137" s="123"/>
      <c r="O137" s="123"/>
      <c r="P137" s="123"/>
      <c r="Q137" s="123"/>
      <c r="AJ137" s="122"/>
      <c r="AW137" s="122"/>
      <c r="AX137" s="122"/>
    </row>
    <row r="138" spans="1:50" ht="12" customHeight="1" x14ac:dyDescent="0.25">
      <c r="A138" s="123"/>
      <c r="B138" s="240"/>
      <c r="C138" s="123"/>
      <c r="D138" s="123"/>
      <c r="E138" s="123"/>
      <c r="F138" s="123"/>
      <c r="G138" s="123"/>
      <c r="H138" s="123"/>
      <c r="I138" s="123"/>
      <c r="J138" s="267"/>
      <c r="K138" s="232"/>
      <c r="L138" s="123"/>
      <c r="M138" s="259"/>
      <c r="N138" s="123"/>
      <c r="O138" s="123"/>
      <c r="P138" s="123"/>
      <c r="Q138" s="123"/>
      <c r="AJ138" s="122"/>
      <c r="AW138" s="122"/>
      <c r="AX138" s="122"/>
    </row>
    <row r="139" spans="1:50" ht="12" customHeight="1" x14ac:dyDescent="0.25">
      <c r="A139" s="123"/>
      <c r="B139" s="240"/>
      <c r="C139" s="123"/>
      <c r="D139" s="123"/>
      <c r="E139" s="123"/>
      <c r="F139" s="123"/>
      <c r="G139" s="123"/>
      <c r="H139" s="123"/>
      <c r="I139" s="123"/>
      <c r="J139" s="267"/>
      <c r="K139" s="232"/>
      <c r="L139" s="123"/>
      <c r="M139" s="259"/>
      <c r="N139" s="123"/>
      <c r="O139" s="123"/>
      <c r="P139" s="123"/>
      <c r="Q139" s="123"/>
      <c r="AJ139" s="122"/>
      <c r="AW139" s="122"/>
      <c r="AX139" s="122"/>
    </row>
    <row r="140" spans="1:50" ht="12" customHeight="1" x14ac:dyDescent="0.25">
      <c r="A140" s="123"/>
      <c r="B140" s="240"/>
      <c r="C140" s="123"/>
      <c r="D140" s="123"/>
      <c r="E140" s="123"/>
      <c r="F140" s="123"/>
      <c r="G140" s="123"/>
      <c r="H140" s="123"/>
      <c r="I140" s="123"/>
      <c r="J140" s="267"/>
      <c r="K140" s="232"/>
      <c r="L140" s="123"/>
      <c r="M140" s="259"/>
      <c r="N140" s="123"/>
      <c r="O140" s="123"/>
      <c r="P140" s="123"/>
      <c r="Q140" s="123"/>
      <c r="AJ140" s="122"/>
      <c r="AW140" s="122"/>
      <c r="AX140" s="122"/>
    </row>
    <row r="141" spans="1:50" ht="12" customHeight="1" x14ac:dyDescent="0.25">
      <c r="A141" s="123"/>
      <c r="B141" s="240"/>
      <c r="C141" s="123"/>
      <c r="D141" s="123"/>
      <c r="E141" s="123"/>
      <c r="F141" s="123"/>
      <c r="G141" s="123"/>
      <c r="H141" s="123"/>
      <c r="I141" s="123"/>
      <c r="J141" s="267"/>
      <c r="K141" s="232"/>
      <c r="L141" s="123"/>
      <c r="M141" s="259"/>
      <c r="N141" s="123"/>
      <c r="O141" s="123"/>
      <c r="P141" s="123"/>
      <c r="Q141" s="123"/>
      <c r="AJ141" s="122"/>
      <c r="AW141" s="122"/>
      <c r="AX141" s="122"/>
    </row>
    <row r="142" spans="1:50" ht="12" customHeight="1" x14ac:dyDescent="0.25">
      <c r="A142" s="123"/>
      <c r="B142" s="240"/>
      <c r="C142" s="123"/>
      <c r="D142" s="123"/>
      <c r="E142" s="123"/>
      <c r="F142" s="123"/>
      <c r="G142" s="123"/>
      <c r="H142" s="123"/>
      <c r="I142" s="123"/>
      <c r="J142" s="267"/>
      <c r="K142" s="232"/>
      <c r="L142" s="123"/>
      <c r="M142" s="259"/>
      <c r="N142" s="123"/>
      <c r="O142" s="123"/>
      <c r="P142" s="123"/>
      <c r="Q142" s="123"/>
      <c r="AJ142" s="122"/>
      <c r="AW142" s="122"/>
      <c r="AX142" s="122"/>
    </row>
    <row r="143" spans="1:50" ht="12" customHeight="1" x14ac:dyDescent="0.25">
      <c r="A143" s="123"/>
      <c r="B143" s="240"/>
      <c r="C143" s="123"/>
      <c r="D143" s="123"/>
      <c r="E143" s="123"/>
      <c r="F143" s="123"/>
      <c r="G143" s="123"/>
      <c r="H143" s="123"/>
      <c r="I143" s="123"/>
      <c r="J143" s="267"/>
      <c r="K143" s="232"/>
      <c r="L143" s="123"/>
      <c r="M143" s="259"/>
      <c r="N143" s="123"/>
      <c r="O143" s="123"/>
      <c r="P143" s="123"/>
      <c r="Q143" s="123"/>
      <c r="AJ143" s="122"/>
      <c r="AW143" s="122"/>
      <c r="AX143" s="122"/>
    </row>
    <row r="144" spans="1:50" ht="12" customHeight="1" x14ac:dyDescent="0.25">
      <c r="A144" s="123"/>
      <c r="B144" s="240"/>
      <c r="C144" s="123"/>
      <c r="D144" s="123"/>
      <c r="E144" s="123"/>
      <c r="F144" s="123"/>
      <c r="G144" s="123"/>
      <c r="H144" s="123"/>
      <c r="I144" s="123"/>
      <c r="J144" s="267"/>
      <c r="K144" s="232"/>
      <c r="L144" s="123"/>
      <c r="M144" s="259"/>
      <c r="N144" s="123"/>
      <c r="O144" s="123"/>
      <c r="P144" s="123"/>
      <c r="Q144" s="123"/>
      <c r="AJ144" s="122"/>
      <c r="AW144" s="122"/>
      <c r="AX144" s="122"/>
    </row>
    <row r="145" spans="1:50" ht="12" customHeight="1" x14ac:dyDescent="0.25">
      <c r="A145" s="123"/>
      <c r="B145" s="240"/>
      <c r="C145" s="123"/>
      <c r="D145" s="123"/>
      <c r="E145" s="123"/>
      <c r="F145" s="123"/>
      <c r="G145" s="123"/>
      <c r="H145" s="123"/>
      <c r="I145" s="123"/>
      <c r="J145" s="267"/>
      <c r="K145" s="232"/>
      <c r="L145" s="123"/>
      <c r="M145" s="259"/>
      <c r="N145" s="123"/>
      <c r="O145" s="123"/>
      <c r="P145" s="123"/>
      <c r="Q145" s="123"/>
      <c r="AJ145" s="122"/>
      <c r="AW145" s="122"/>
      <c r="AX145" s="122"/>
    </row>
    <row r="146" spans="1:50" ht="12" customHeight="1" x14ac:dyDescent="0.25">
      <c r="A146" s="123"/>
      <c r="B146" s="240"/>
      <c r="C146" s="123"/>
      <c r="D146" s="123"/>
      <c r="E146" s="123"/>
      <c r="F146" s="123"/>
      <c r="G146" s="123"/>
      <c r="H146" s="123"/>
      <c r="I146" s="123"/>
      <c r="J146" s="267"/>
      <c r="K146" s="232"/>
      <c r="L146" s="123"/>
      <c r="M146" s="259"/>
      <c r="N146" s="123"/>
      <c r="O146" s="123"/>
      <c r="P146" s="123"/>
      <c r="Q146" s="123"/>
      <c r="AJ146" s="122"/>
      <c r="AW146" s="122"/>
      <c r="AX146" s="122"/>
    </row>
    <row r="147" spans="1:50" ht="12" customHeight="1" x14ac:dyDescent="0.25">
      <c r="A147" s="123"/>
      <c r="B147" s="240"/>
      <c r="C147" s="123"/>
      <c r="D147" s="123"/>
      <c r="E147" s="123"/>
      <c r="F147" s="123"/>
      <c r="G147" s="123"/>
      <c r="H147" s="123"/>
      <c r="I147" s="123"/>
      <c r="J147" s="267"/>
      <c r="K147" s="232"/>
      <c r="L147" s="123"/>
      <c r="M147" s="259"/>
      <c r="N147" s="123"/>
      <c r="O147" s="123"/>
      <c r="P147" s="123"/>
      <c r="Q147" s="123"/>
      <c r="AJ147" s="122"/>
      <c r="AW147" s="122"/>
      <c r="AX147" s="122"/>
    </row>
    <row r="148" spans="1:50" ht="12" customHeight="1" x14ac:dyDescent="0.25">
      <c r="A148" s="123"/>
      <c r="B148" s="240"/>
      <c r="C148" s="123"/>
      <c r="D148" s="123"/>
      <c r="E148" s="123"/>
      <c r="F148" s="123"/>
      <c r="G148" s="123"/>
      <c r="H148" s="123"/>
      <c r="I148" s="123"/>
      <c r="J148" s="267"/>
      <c r="K148" s="232"/>
      <c r="L148" s="123"/>
      <c r="M148" s="259"/>
      <c r="N148" s="123"/>
      <c r="O148" s="123"/>
      <c r="P148" s="123"/>
      <c r="Q148" s="123"/>
      <c r="AJ148" s="122"/>
      <c r="AW148" s="122"/>
      <c r="AX148" s="122"/>
    </row>
    <row r="149" spans="1:50" ht="12" customHeight="1" x14ac:dyDescent="0.25">
      <c r="A149" s="123"/>
      <c r="B149" s="240"/>
      <c r="C149" s="123"/>
      <c r="D149" s="123"/>
      <c r="E149" s="123"/>
      <c r="F149" s="123"/>
      <c r="G149" s="123"/>
      <c r="H149" s="123"/>
      <c r="I149" s="123"/>
      <c r="J149" s="267"/>
      <c r="K149" s="232"/>
      <c r="L149" s="123"/>
      <c r="M149" s="259"/>
      <c r="N149" s="123"/>
      <c r="O149" s="123"/>
      <c r="P149" s="123"/>
      <c r="Q149" s="123"/>
      <c r="AJ149" s="122"/>
      <c r="AW149" s="122"/>
      <c r="AX149" s="122"/>
    </row>
    <row r="150" spans="1:50" ht="12" customHeight="1" x14ac:dyDescent="0.25">
      <c r="A150" s="123"/>
      <c r="B150" s="240"/>
      <c r="C150" s="123"/>
      <c r="D150" s="123"/>
      <c r="E150" s="123"/>
      <c r="F150" s="123"/>
      <c r="G150" s="123"/>
      <c r="H150" s="123"/>
      <c r="I150" s="123"/>
      <c r="J150" s="267"/>
      <c r="K150" s="232"/>
      <c r="L150" s="123"/>
      <c r="M150" s="259"/>
      <c r="N150" s="123"/>
      <c r="O150" s="123"/>
      <c r="P150" s="123"/>
      <c r="Q150" s="123"/>
      <c r="AJ150" s="122"/>
      <c r="AW150" s="122"/>
      <c r="AX150" s="122"/>
    </row>
    <row r="151" spans="1:50" ht="12" customHeight="1" x14ac:dyDescent="0.25">
      <c r="A151" s="123"/>
      <c r="B151" s="240"/>
      <c r="C151" s="123"/>
      <c r="D151" s="123"/>
      <c r="E151" s="123"/>
      <c r="F151" s="123"/>
      <c r="G151" s="123"/>
      <c r="H151" s="123"/>
      <c r="I151" s="123"/>
      <c r="J151" s="267"/>
      <c r="K151" s="232"/>
      <c r="L151" s="123"/>
      <c r="M151" s="259"/>
      <c r="N151" s="123"/>
      <c r="O151" s="123"/>
      <c r="P151" s="123"/>
      <c r="Q151" s="123"/>
      <c r="AJ151" s="122"/>
      <c r="AW151" s="122"/>
      <c r="AX151" s="122"/>
    </row>
    <row r="152" spans="1:50" ht="12" customHeight="1" x14ac:dyDescent="0.25">
      <c r="A152" s="123"/>
      <c r="B152" s="240"/>
      <c r="C152" s="123"/>
      <c r="D152" s="123"/>
      <c r="E152" s="123"/>
      <c r="F152" s="123"/>
      <c r="G152" s="123"/>
      <c r="H152" s="123"/>
      <c r="I152" s="123"/>
      <c r="J152" s="267"/>
      <c r="K152" s="232"/>
      <c r="L152" s="123"/>
      <c r="M152" s="259"/>
      <c r="N152" s="123"/>
      <c r="O152" s="123"/>
      <c r="P152" s="123"/>
      <c r="Q152" s="123"/>
      <c r="AJ152" s="122"/>
      <c r="AW152" s="122"/>
      <c r="AX152" s="122"/>
    </row>
    <row r="153" spans="1:50" ht="12" customHeight="1" x14ac:dyDescent="0.25">
      <c r="A153" s="123"/>
      <c r="B153" s="240"/>
      <c r="C153" s="123"/>
      <c r="D153" s="123"/>
      <c r="E153" s="123"/>
      <c r="F153" s="123"/>
      <c r="G153" s="123"/>
      <c r="H153" s="123"/>
      <c r="I153" s="123"/>
      <c r="J153" s="267"/>
      <c r="K153" s="232"/>
      <c r="L153" s="123"/>
      <c r="M153" s="259"/>
      <c r="N153" s="123"/>
      <c r="O153" s="123"/>
      <c r="P153" s="123"/>
      <c r="Q153" s="123"/>
      <c r="AJ153" s="122"/>
      <c r="AW153" s="122"/>
      <c r="AX153" s="122"/>
    </row>
    <row r="154" spans="1:50" ht="12" customHeight="1" x14ac:dyDescent="0.25">
      <c r="A154" s="123"/>
      <c r="B154" s="240"/>
      <c r="C154" s="123"/>
      <c r="D154" s="123"/>
      <c r="E154" s="123"/>
      <c r="F154" s="123"/>
      <c r="G154" s="123"/>
      <c r="H154" s="123"/>
      <c r="I154" s="123"/>
      <c r="J154" s="267"/>
      <c r="K154" s="232"/>
      <c r="L154" s="123"/>
      <c r="M154" s="259"/>
      <c r="N154" s="123"/>
      <c r="O154" s="123"/>
      <c r="P154" s="123"/>
      <c r="Q154" s="123"/>
      <c r="AJ154" s="122"/>
      <c r="AW154" s="122"/>
      <c r="AX154" s="122"/>
    </row>
    <row r="155" spans="1:50" ht="12" customHeight="1" x14ac:dyDescent="0.25">
      <c r="A155" s="123"/>
      <c r="B155" s="240"/>
      <c r="C155" s="123"/>
      <c r="D155" s="123"/>
      <c r="E155" s="123"/>
      <c r="F155" s="123"/>
      <c r="G155" s="123"/>
      <c r="H155" s="123"/>
      <c r="I155" s="123"/>
      <c r="J155" s="267"/>
      <c r="K155" s="232"/>
      <c r="L155" s="123"/>
      <c r="M155" s="259"/>
      <c r="N155" s="123"/>
      <c r="O155" s="123"/>
      <c r="P155" s="123"/>
      <c r="Q155" s="123"/>
      <c r="AJ155" s="122"/>
      <c r="AW155" s="122"/>
      <c r="AX155" s="122"/>
    </row>
    <row r="156" spans="1:50" ht="12" customHeight="1" x14ac:dyDescent="0.25">
      <c r="A156" s="123"/>
      <c r="B156" s="240"/>
      <c r="C156" s="123"/>
      <c r="D156" s="123"/>
      <c r="E156" s="123"/>
      <c r="F156" s="123"/>
      <c r="G156" s="123"/>
      <c r="H156" s="123"/>
      <c r="I156" s="123"/>
      <c r="J156" s="267"/>
      <c r="K156" s="232"/>
      <c r="L156" s="123"/>
      <c r="M156" s="259"/>
      <c r="N156" s="123"/>
      <c r="O156" s="123"/>
      <c r="P156" s="123"/>
      <c r="Q156" s="123"/>
      <c r="AJ156" s="122"/>
      <c r="AW156" s="122"/>
      <c r="AX156" s="122"/>
    </row>
    <row r="157" spans="1:50" ht="12" customHeight="1" x14ac:dyDescent="0.25">
      <c r="A157" s="123"/>
      <c r="B157" s="240"/>
      <c r="C157" s="123"/>
      <c r="D157" s="123"/>
      <c r="E157" s="123"/>
      <c r="F157" s="123"/>
      <c r="G157" s="123"/>
      <c r="H157" s="123"/>
      <c r="I157" s="123"/>
      <c r="J157" s="267"/>
      <c r="K157" s="232"/>
      <c r="L157" s="123"/>
      <c r="M157" s="259"/>
      <c r="N157" s="123"/>
      <c r="O157" s="123"/>
      <c r="P157" s="123"/>
      <c r="Q157" s="123"/>
      <c r="AJ157" s="122"/>
      <c r="AW157" s="122"/>
      <c r="AX157" s="122"/>
    </row>
    <row r="158" spans="1:50" ht="12" customHeight="1" x14ac:dyDescent="0.25">
      <c r="A158" s="123"/>
      <c r="B158" s="240"/>
      <c r="C158" s="123"/>
      <c r="D158" s="123"/>
      <c r="E158" s="123"/>
      <c r="F158" s="123"/>
      <c r="G158" s="123"/>
      <c r="H158" s="123"/>
      <c r="I158" s="123"/>
      <c r="J158" s="267"/>
      <c r="K158" s="232"/>
      <c r="L158" s="123"/>
      <c r="M158" s="259"/>
      <c r="N158" s="123"/>
      <c r="O158" s="123"/>
      <c r="P158" s="123"/>
      <c r="Q158" s="123"/>
      <c r="AJ158" s="122"/>
      <c r="AW158" s="122"/>
      <c r="AX158" s="122"/>
    </row>
    <row r="159" spans="1:50" ht="12" customHeight="1" x14ac:dyDescent="0.25">
      <c r="A159" s="123"/>
      <c r="B159" s="240"/>
      <c r="C159" s="123"/>
      <c r="D159" s="123"/>
      <c r="E159" s="123"/>
      <c r="F159" s="123"/>
      <c r="G159" s="123"/>
      <c r="H159" s="123"/>
      <c r="I159" s="123"/>
      <c r="J159" s="267"/>
      <c r="K159" s="232"/>
      <c r="L159" s="123"/>
      <c r="M159" s="259"/>
      <c r="N159" s="123"/>
      <c r="O159" s="123"/>
      <c r="P159" s="123"/>
      <c r="Q159" s="123"/>
      <c r="AJ159" s="122"/>
      <c r="AW159" s="122"/>
      <c r="AX159" s="122"/>
    </row>
    <row r="160" spans="1:50" ht="12" customHeight="1" x14ac:dyDescent="0.25">
      <c r="A160" s="123"/>
      <c r="B160" s="240"/>
      <c r="C160" s="123"/>
      <c r="D160" s="123"/>
      <c r="E160" s="123"/>
      <c r="F160" s="123"/>
      <c r="G160" s="123"/>
      <c r="H160" s="123"/>
      <c r="I160" s="123"/>
      <c r="J160" s="267"/>
      <c r="K160" s="232"/>
      <c r="L160" s="123"/>
      <c r="M160" s="259"/>
      <c r="N160" s="123"/>
      <c r="O160" s="123"/>
      <c r="P160" s="123"/>
      <c r="Q160" s="123"/>
      <c r="AJ160" s="122"/>
      <c r="AW160" s="122"/>
      <c r="AX160" s="122"/>
    </row>
    <row r="161" spans="1:50" ht="12" customHeight="1" x14ac:dyDescent="0.25">
      <c r="A161" s="123"/>
      <c r="B161" s="240"/>
      <c r="C161" s="123"/>
      <c r="D161" s="123"/>
      <c r="E161" s="123"/>
      <c r="F161" s="123"/>
      <c r="G161" s="123"/>
      <c r="H161" s="123"/>
      <c r="I161" s="123"/>
      <c r="J161" s="267"/>
      <c r="K161" s="232"/>
      <c r="L161" s="123"/>
      <c r="M161" s="259"/>
      <c r="N161" s="123"/>
      <c r="O161" s="123"/>
      <c r="P161" s="123"/>
      <c r="Q161" s="123"/>
      <c r="AJ161" s="122"/>
      <c r="AW161" s="122"/>
      <c r="AX161" s="122"/>
    </row>
    <row r="162" spans="1:50" ht="12" customHeight="1" x14ac:dyDescent="0.25">
      <c r="A162" s="123"/>
      <c r="B162" s="240"/>
      <c r="C162" s="123"/>
      <c r="D162" s="123"/>
      <c r="E162" s="123"/>
      <c r="F162" s="123"/>
      <c r="G162" s="123"/>
      <c r="H162" s="123"/>
      <c r="I162" s="123"/>
      <c r="J162" s="267"/>
      <c r="K162" s="232"/>
      <c r="L162" s="123"/>
      <c r="M162" s="259"/>
      <c r="N162" s="123"/>
      <c r="O162" s="123"/>
      <c r="P162" s="123"/>
      <c r="Q162" s="123"/>
      <c r="AJ162" s="122"/>
      <c r="AW162" s="122"/>
      <c r="AX162" s="122"/>
    </row>
    <row r="163" spans="1:50" ht="12" customHeight="1" x14ac:dyDescent="0.25">
      <c r="A163" s="123"/>
      <c r="B163" s="240"/>
      <c r="C163" s="123"/>
      <c r="D163" s="123"/>
      <c r="E163" s="123"/>
      <c r="F163" s="123"/>
      <c r="G163" s="123"/>
      <c r="H163" s="123"/>
      <c r="I163" s="123"/>
      <c r="J163" s="267"/>
      <c r="K163" s="232"/>
      <c r="L163" s="123"/>
      <c r="M163" s="259"/>
      <c r="N163" s="123"/>
      <c r="O163" s="123"/>
      <c r="P163" s="123"/>
      <c r="Q163" s="123"/>
      <c r="AJ163" s="122"/>
      <c r="AW163" s="122"/>
      <c r="AX163" s="122"/>
    </row>
    <row r="164" spans="1:50" ht="12" customHeight="1" x14ac:dyDescent="0.25">
      <c r="A164" s="123"/>
      <c r="B164" s="240"/>
      <c r="C164" s="123"/>
      <c r="D164" s="123"/>
      <c r="E164" s="123"/>
      <c r="F164" s="123"/>
      <c r="G164" s="123"/>
      <c r="H164" s="123"/>
      <c r="I164" s="123"/>
      <c r="J164" s="267"/>
      <c r="K164" s="232"/>
      <c r="L164" s="123"/>
      <c r="M164" s="259"/>
      <c r="N164" s="123"/>
      <c r="O164" s="123"/>
      <c r="P164" s="123"/>
      <c r="Q164" s="123"/>
      <c r="AJ164" s="122"/>
      <c r="AW164" s="122"/>
      <c r="AX164" s="122"/>
    </row>
    <row r="165" spans="1:50" ht="10.5" customHeight="1" x14ac:dyDescent="0.25">
      <c r="A165" s="123"/>
      <c r="B165" s="240"/>
      <c r="C165" s="123"/>
      <c r="D165" s="123"/>
      <c r="E165" s="123"/>
      <c r="F165" s="123"/>
      <c r="G165" s="123"/>
      <c r="H165" s="123"/>
      <c r="I165" s="123"/>
      <c r="J165" s="267"/>
      <c r="K165" s="232"/>
      <c r="L165" s="123"/>
      <c r="M165" s="259"/>
      <c r="N165" s="123"/>
      <c r="O165" s="123"/>
      <c r="P165" s="123"/>
      <c r="Q165" s="123"/>
      <c r="AJ165" s="122"/>
      <c r="AW165" s="122"/>
      <c r="AX165" s="122"/>
    </row>
    <row r="166" spans="1:50" ht="12" customHeight="1" x14ac:dyDescent="0.25">
      <c r="A166" s="123"/>
      <c r="B166" s="240"/>
      <c r="C166" s="123"/>
      <c r="D166" s="123"/>
      <c r="E166" s="123"/>
      <c r="F166" s="123"/>
      <c r="G166" s="123"/>
      <c r="H166" s="123"/>
      <c r="I166" s="123"/>
      <c r="J166" s="267"/>
      <c r="K166" s="232"/>
      <c r="L166" s="123"/>
      <c r="M166" s="259"/>
      <c r="N166" s="123"/>
      <c r="O166" s="123"/>
      <c r="P166" s="123"/>
      <c r="Q166" s="123"/>
      <c r="AJ166" s="122"/>
      <c r="AW166" s="122"/>
      <c r="AX166" s="122"/>
    </row>
    <row r="167" spans="1:50" ht="12" customHeight="1" x14ac:dyDescent="0.25">
      <c r="A167" s="123"/>
      <c r="B167" s="240"/>
      <c r="C167" s="123"/>
      <c r="D167" s="123"/>
      <c r="E167" s="123"/>
      <c r="F167" s="123"/>
      <c r="G167" s="123"/>
      <c r="H167" s="123"/>
      <c r="I167" s="123"/>
      <c r="J167" s="267"/>
      <c r="K167" s="232"/>
      <c r="L167" s="123"/>
      <c r="M167" s="259"/>
      <c r="N167" s="123"/>
      <c r="O167" s="123"/>
      <c r="P167" s="123"/>
      <c r="Q167" s="123"/>
      <c r="AJ167" s="122"/>
      <c r="AW167" s="122"/>
      <c r="AX167" s="122"/>
    </row>
    <row r="168" spans="1:50" ht="12" customHeight="1" x14ac:dyDescent="0.25">
      <c r="A168" s="123"/>
      <c r="B168" s="240"/>
      <c r="C168" s="123"/>
      <c r="D168" s="123"/>
      <c r="E168" s="123"/>
      <c r="F168" s="123"/>
      <c r="G168" s="123"/>
      <c r="H168" s="123"/>
      <c r="I168" s="123"/>
      <c r="J168" s="267"/>
      <c r="K168" s="232"/>
      <c r="L168" s="123"/>
      <c r="M168" s="259"/>
      <c r="N168" s="123"/>
      <c r="O168" s="123"/>
      <c r="P168" s="123"/>
      <c r="Q168" s="123"/>
      <c r="AJ168" s="122"/>
      <c r="AW168" s="122"/>
      <c r="AX168" s="122"/>
    </row>
    <row r="169" spans="1:50" ht="12" customHeight="1" x14ac:dyDescent="0.25">
      <c r="A169" s="123"/>
      <c r="B169" s="240"/>
      <c r="C169" s="123"/>
      <c r="D169" s="123"/>
      <c r="E169" s="123"/>
      <c r="F169" s="123"/>
      <c r="G169" s="123"/>
      <c r="H169" s="123"/>
      <c r="I169" s="123"/>
      <c r="J169" s="267"/>
      <c r="K169" s="232"/>
      <c r="L169" s="123"/>
      <c r="M169" s="259"/>
      <c r="N169" s="123"/>
      <c r="O169" s="123"/>
      <c r="P169" s="123"/>
      <c r="Q169" s="123"/>
      <c r="AJ169" s="122"/>
      <c r="AW169" s="122"/>
      <c r="AX169" s="122"/>
    </row>
    <row r="170" spans="1:50" ht="12" customHeight="1" x14ac:dyDescent="0.25">
      <c r="A170" s="123"/>
      <c r="B170" s="240"/>
      <c r="C170" s="123"/>
      <c r="D170" s="123"/>
      <c r="E170" s="123"/>
      <c r="F170" s="123"/>
      <c r="G170" s="123"/>
      <c r="H170" s="123"/>
      <c r="I170" s="123"/>
      <c r="J170" s="267"/>
      <c r="K170" s="232"/>
      <c r="L170" s="123"/>
      <c r="M170" s="259"/>
      <c r="N170" s="123"/>
      <c r="O170" s="123"/>
      <c r="P170" s="123"/>
      <c r="Q170" s="123"/>
      <c r="AJ170" s="122"/>
      <c r="AW170" s="122"/>
      <c r="AX170" s="122"/>
    </row>
    <row r="171" spans="1:50" ht="12" customHeight="1" x14ac:dyDescent="0.25">
      <c r="A171" s="123"/>
      <c r="B171" s="240"/>
      <c r="C171" s="123"/>
      <c r="D171" s="123"/>
      <c r="E171" s="123"/>
      <c r="F171" s="123"/>
      <c r="G171" s="123"/>
      <c r="H171" s="123"/>
      <c r="I171" s="123"/>
      <c r="J171" s="267"/>
      <c r="K171" s="232"/>
      <c r="L171" s="123"/>
      <c r="M171" s="259"/>
      <c r="N171" s="123"/>
      <c r="O171" s="123"/>
      <c r="P171" s="123"/>
      <c r="Q171" s="123"/>
      <c r="AJ171" s="122"/>
      <c r="AW171" s="122"/>
      <c r="AX171" s="122"/>
    </row>
    <row r="172" spans="1:50" ht="12" customHeight="1" x14ac:dyDescent="0.25">
      <c r="A172" s="123"/>
      <c r="B172" s="240"/>
      <c r="C172" s="123"/>
      <c r="D172" s="123"/>
      <c r="E172" s="123"/>
      <c r="F172" s="123"/>
      <c r="G172" s="123"/>
      <c r="H172" s="123"/>
      <c r="I172" s="123"/>
      <c r="J172" s="267"/>
      <c r="K172" s="232"/>
      <c r="L172" s="123"/>
      <c r="M172" s="259"/>
      <c r="N172" s="123"/>
      <c r="O172" s="123"/>
      <c r="P172" s="123"/>
      <c r="Q172" s="123"/>
      <c r="AJ172" s="122"/>
      <c r="AW172" s="122"/>
      <c r="AX172" s="122"/>
    </row>
    <row r="173" spans="1:50" ht="12" customHeight="1" x14ac:dyDescent="0.25">
      <c r="A173" s="123"/>
      <c r="B173" s="240"/>
      <c r="C173" s="123"/>
      <c r="D173" s="123"/>
      <c r="E173" s="123"/>
      <c r="F173" s="123"/>
      <c r="G173" s="123"/>
      <c r="H173" s="123"/>
      <c r="I173" s="123"/>
      <c r="J173" s="267"/>
      <c r="K173" s="232"/>
      <c r="L173" s="123"/>
      <c r="M173" s="259"/>
      <c r="N173" s="123"/>
      <c r="O173" s="123"/>
      <c r="P173" s="123"/>
      <c r="Q173" s="123"/>
      <c r="AJ173" s="122"/>
      <c r="AW173" s="122"/>
      <c r="AX173" s="122"/>
    </row>
    <row r="174" spans="1:50" ht="12" customHeight="1" x14ac:dyDescent="0.25">
      <c r="A174" s="123"/>
      <c r="B174" s="240"/>
      <c r="C174" s="123"/>
      <c r="D174" s="123"/>
      <c r="E174" s="123"/>
      <c r="F174" s="123"/>
      <c r="G174" s="123"/>
      <c r="H174" s="123"/>
      <c r="I174" s="123"/>
      <c r="J174" s="267"/>
      <c r="K174" s="232"/>
      <c r="L174" s="123"/>
      <c r="M174" s="259"/>
      <c r="N174" s="123"/>
      <c r="O174" s="123"/>
      <c r="P174" s="123"/>
      <c r="Q174" s="123"/>
      <c r="AJ174" s="122"/>
      <c r="AW174" s="122"/>
      <c r="AX174" s="122"/>
    </row>
    <row r="175" spans="1:50" ht="12" customHeight="1" x14ac:dyDescent="0.25">
      <c r="A175" s="123"/>
      <c r="B175" s="240"/>
      <c r="C175" s="123"/>
      <c r="D175" s="123"/>
      <c r="E175" s="123"/>
      <c r="F175" s="123"/>
      <c r="G175" s="123"/>
      <c r="H175" s="123"/>
      <c r="I175" s="123"/>
      <c r="J175" s="267"/>
      <c r="K175" s="232"/>
      <c r="L175" s="123"/>
      <c r="M175" s="259"/>
      <c r="N175" s="123"/>
      <c r="O175" s="123"/>
      <c r="P175" s="123"/>
      <c r="Q175" s="123"/>
      <c r="AJ175" s="122"/>
      <c r="AW175" s="122"/>
      <c r="AX175" s="122"/>
    </row>
    <row r="176" spans="1:50" ht="12" customHeight="1" x14ac:dyDescent="0.25">
      <c r="A176" s="123"/>
      <c r="B176" s="240"/>
      <c r="C176" s="123"/>
      <c r="D176" s="123"/>
      <c r="E176" s="123"/>
      <c r="F176" s="123"/>
      <c r="G176" s="123"/>
      <c r="H176" s="123"/>
      <c r="I176" s="123"/>
      <c r="J176" s="267"/>
      <c r="K176" s="232"/>
      <c r="L176" s="123"/>
      <c r="M176" s="259"/>
      <c r="N176" s="123"/>
      <c r="O176" s="123"/>
      <c r="P176" s="123"/>
      <c r="Q176" s="123"/>
      <c r="AJ176" s="122"/>
      <c r="AW176" s="122"/>
      <c r="AX176" s="122"/>
    </row>
    <row r="177" spans="1:50" ht="12" customHeight="1" x14ac:dyDescent="0.25">
      <c r="A177" s="123"/>
      <c r="B177" s="240"/>
      <c r="C177" s="123"/>
      <c r="D177" s="123"/>
      <c r="E177" s="123"/>
      <c r="F177" s="123"/>
      <c r="G177" s="123"/>
      <c r="H177" s="123"/>
      <c r="I177" s="123"/>
      <c r="J177" s="267"/>
      <c r="K177" s="232"/>
      <c r="L177" s="123"/>
      <c r="M177" s="259"/>
      <c r="N177" s="123"/>
      <c r="O177" s="123"/>
      <c r="P177" s="123"/>
      <c r="Q177" s="123"/>
      <c r="AJ177" s="122"/>
      <c r="AW177" s="122"/>
      <c r="AX177" s="122"/>
    </row>
    <row r="178" spans="1:50" ht="12" customHeight="1" x14ac:dyDescent="0.25">
      <c r="A178" s="123"/>
      <c r="B178" s="240"/>
      <c r="C178" s="123"/>
      <c r="D178" s="123"/>
      <c r="E178" s="123"/>
      <c r="F178" s="123"/>
      <c r="G178" s="123"/>
      <c r="H178" s="123"/>
      <c r="I178" s="123"/>
      <c r="J178" s="267"/>
      <c r="K178" s="232"/>
      <c r="L178" s="123"/>
      <c r="M178" s="259"/>
      <c r="N178" s="123"/>
      <c r="O178" s="123"/>
      <c r="P178" s="123"/>
      <c r="Q178" s="123"/>
      <c r="AJ178" s="122"/>
      <c r="AW178" s="122"/>
      <c r="AX178" s="122"/>
    </row>
    <row r="179" spans="1:50" ht="12" customHeight="1" x14ac:dyDescent="0.25">
      <c r="A179" s="123"/>
      <c r="B179" s="240"/>
      <c r="C179" s="123"/>
      <c r="D179" s="123"/>
      <c r="E179" s="123"/>
      <c r="F179" s="123"/>
      <c r="G179" s="123"/>
      <c r="H179" s="123"/>
      <c r="I179" s="123"/>
      <c r="J179" s="267"/>
      <c r="K179" s="232"/>
      <c r="L179" s="123"/>
      <c r="M179" s="259"/>
      <c r="N179" s="123"/>
      <c r="O179" s="123"/>
      <c r="P179" s="123"/>
      <c r="Q179" s="123"/>
      <c r="AJ179" s="122"/>
      <c r="AW179" s="122"/>
      <c r="AX179" s="122"/>
    </row>
    <row r="180" spans="1:50" ht="12" customHeight="1" x14ac:dyDescent="0.25">
      <c r="A180" s="123"/>
      <c r="B180" s="240"/>
      <c r="C180" s="123"/>
      <c r="D180" s="123"/>
      <c r="E180" s="123"/>
      <c r="F180" s="123"/>
      <c r="G180" s="123"/>
      <c r="H180" s="123"/>
      <c r="I180" s="123"/>
      <c r="J180" s="267"/>
      <c r="K180" s="232"/>
      <c r="L180" s="123"/>
      <c r="M180" s="259"/>
      <c r="N180" s="123"/>
      <c r="O180" s="123"/>
      <c r="P180" s="123"/>
      <c r="Q180" s="123"/>
      <c r="AJ180" s="122"/>
      <c r="AW180" s="122"/>
      <c r="AX180" s="122"/>
    </row>
    <row r="181" spans="1:50" ht="12" customHeight="1" x14ac:dyDescent="0.25">
      <c r="A181" s="123"/>
      <c r="B181" s="240"/>
      <c r="C181" s="123"/>
      <c r="D181" s="123"/>
      <c r="E181" s="123"/>
      <c r="F181" s="123"/>
      <c r="G181" s="123"/>
      <c r="H181" s="123"/>
      <c r="I181" s="123"/>
      <c r="J181" s="267"/>
      <c r="K181" s="232"/>
      <c r="L181" s="123"/>
      <c r="M181" s="259"/>
      <c r="N181" s="123"/>
      <c r="O181" s="123"/>
      <c r="P181" s="123"/>
      <c r="Q181" s="123"/>
      <c r="AJ181" s="122"/>
      <c r="AW181" s="122"/>
      <c r="AX181" s="122"/>
    </row>
    <row r="182" spans="1:50" ht="12" customHeight="1" x14ac:dyDescent="0.25">
      <c r="A182" s="123"/>
      <c r="B182" s="240"/>
      <c r="C182" s="123"/>
      <c r="D182" s="123"/>
      <c r="E182" s="123"/>
      <c r="F182" s="123"/>
      <c r="G182" s="123"/>
      <c r="H182" s="123"/>
      <c r="I182" s="123"/>
      <c r="J182" s="267"/>
      <c r="K182" s="232"/>
      <c r="L182" s="123"/>
      <c r="M182" s="259"/>
      <c r="N182" s="123"/>
      <c r="O182" s="123"/>
      <c r="P182" s="123"/>
      <c r="Q182" s="123"/>
      <c r="AJ182" s="122"/>
      <c r="AW182" s="122"/>
      <c r="AX182" s="122"/>
    </row>
    <row r="183" spans="1:50" ht="12" customHeight="1" x14ac:dyDescent="0.25">
      <c r="A183" s="123"/>
      <c r="B183" s="240"/>
      <c r="C183" s="123"/>
      <c r="D183" s="123"/>
      <c r="E183" s="123"/>
      <c r="F183" s="123"/>
      <c r="G183" s="123"/>
      <c r="H183" s="123"/>
      <c r="I183" s="123"/>
      <c r="J183" s="267"/>
      <c r="K183" s="232"/>
      <c r="L183" s="123"/>
      <c r="M183" s="259"/>
      <c r="N183" s="123"/>
      <c r="O183" s="123"/>
      <c r="P183" s="123"/>
      <c r="Q183" s="123"/>
      <c r="AJ183" s="122"/>
      <c r="AW183" s="122"/>
      <c r="AX183" s="122"/>
    </row>
    <row r="184" spans="1:50" ht="12" customHeight="1" x14ac:dyDescent="0.25">
      <c r="A184" s="123"/>
      <c r="B184" s="240"/>
      <c r="C184" s="123"/>
      <c r="D184" s="123"/>
      <c r="E184" s="123"/>
      <c r="F184" s="123"/>
      <c r="G184" s="123"/>
      <c r="H184" s="123"/>
      <c r="I184" s="123"/>
      <c r="J184" s="267"/>
      <c r="K184" s="232"/>
      <c r="L184" s="123"/>
      <c r="M184" s="259"/>
      <c r="N184" s="123"/>
      <c r="O184" s="123"/>
      <c r="P184" s="123"/>
      <c r="Q184" s="123"/>
      <c r="AJ184" s="122"/>
      <c r="AW184" s="122"/>
      <c r="AX184" s="122"/>
    </row>
    <row r="185" spans="1:50" ht="12" customHeight="1" x14ac:dyDescent="0.25">
      <c r="A185" s="123"/>
      <c r="B185" s="240"/>
      <c r="C185" s="123"/>
      <c r="D185" s="123"/>
      <c r="E185" s="123"/>
      <c r="F185" s="123"/>
      <c r="G185" s="123"/>
      <c r="H185" s="123"/>
      <c r="I185" s="123"/>
      <c r="J185" s="267"/>
      <c r="K185" s="232"/>
      <c r="L185" s="123"/>
      <c r="M185" s="259"/>
      <c r="N185" s="123"/>
      <c r="O185" s="123"/>
      <c r="P185" s="123"/>
      <c r="Q185" s="123"/>
      <c r="AJ185" s="122"/>
      <c r="AW185" s="122"/>
      <c r="AX185" s="122"/>
    </row>
    <row r="186" spans="1:50" ht="12" customHeight="1" x14ac:dyDescent="0.25">
      <c r="A186" s="123"/>
      <c r="B186" s="240"/>
      <c r="C186" s="123"/>
      <c r="D186" s="123"/>
      <c r="E186" s="123"/>
      <c r="F186" s="123"/>
      <c r="G186" s="123"/>
      <c r="H186" s="123"/>
      <c r="I186" s="123"/>
      <c r="J186" s="267"/>
      <c r="K186" s="232"/>
      <c r="L186" s="123"/>
      <c r="M186" s="259"/>
      <c r="N186" s="123"/>
      <c r="O186" s="123"/>
      <c r="P186" s="123"/>
      <c r="Q186" s="123"/>
      <c r="AJ186" s="122"/>
      <c r="AW186" s="122"/>
      <c r="AX186" s="122"/>
    </row>
    <row r="187" spans="1:50" ht="12" customHeight="1" x14ac:dyDescent="0.25">
      <c r="A187" s="123"/>
      <c r="B187" s="240"/>
      <c r="C187" s="123"/>
      <c r="D187" s="123"/>
      <c r="E187" s="123"/>
      <c r="F187" s="123"/>
      <c r="G187" s="123"/>
      <c r="H187" s="123"/>
      <c r="I187" s="123"/>
      <c r="J187" s="267"/>
      <c r="K187" s="232"/>
      <c r="L187" s="123"/>
      <c r="M187" s="259"/>
      <c r="N187" s="123"/>
      <c r="O187" s="123"/>
      <c r="P187" s="123"/>
      <c r="Q187" s="123"/>
      <c r="AJ187" s="122"/>
      <c r="AW187" s="122"/>
      <c r="AX187" s="122"/>
    </row>
    <row r="188" spans="1:50" ht="12" customHeight="1" x14ac:dyDescent="0.25">
      <c r="A188" s="123"/>
      <c r="B188" s="240"/>
      <c r="C188" s="123"/>
      <c r="D188" s="123"/>
      <c r="E188" s="123"/>
      <c r="F188" s="123"/>
      <c r="G188" s="123"/>
      <c r="H188" s="123"/>
      <c r="I188" s="123"/>
      <c r="J188" s="267"/>
      <c r="K188" s="232"/>
      <c r="L188" s="123"/>
      <c r="M188" s="259"/>
      <c r="N188" s="123"/>
      <c r="O188" s="123"/>
      <c r="P188" s="123"/>
      <c r="Q188" s="123"/>
      <c r="AJ188" s="122"/>
      <c r="AW188" s="122"/>
      <c r="AX188" s="122"/>
    </row>
    <row r="189" spans="1:50" ht="12" customHeight="1" x14ac:dyDescent="0.25">
      <c r="A189" s="123"/>
      <c r="B189" s="240"/>
      <c r="C189" s="123"/>
      <c r="D189" s="123"/>
      <c r="E189" s="123"/>
      <c r="F189" s="123"/>
      <c r="G189" s="123"/>
      <c r="H189" s="123"/>
      <c r="I189" s="123"/>
      <c r="J189" s="267"/>
      <c r="K189" s="232"/>
      <c r="L189" s="123"/>
      <c r="M189" s="259"/>
      <c r="N189" s="123"/>
      <c r="O189" s="123"/>
      <c r="P189" s="123"/>
      <c r="Q189" s="123"/>
      <c r="AJ189" s="122"/>
      <c r="AW189" s="122"/>
      <c r="AX189" s="122"/>
    </row>
    <row r="190" spans="1:50" ht="12" customHeight="1" x14ac:dyDescent="0.25">
      <c r="A190" s="123"/>
      <c r="B190" s="240"/>
      <c r="C190" s="123"/>
      <c r="D190" s="123"/>
      <c r="E190" s="123"/>
      <c r="F190" s="123"/>
      <c r="G190" s="123"/>
      <c r="H190" s="123"/>
      <c r="I190" s="123"/>
      <c r="J190" s="267"/>
      <c r="K190" s="232"/>
      <c r="L190" s="123"/>
      <c r="M190" s="259"/>
      <c r="N190" s="123"/>
      <c r="O190" s="123"/>
      <c r="P190" s="123"/>
      <c r="Q190" s="123"/>
      <c r="AJ190" s="122"/>
      <c r="AW190" s="122"/>
      <c r="AX190" s="122"/>
    </row>
    <row r="191" spans="1:50" ht="12" customHeight="1" x14ac:dyDescent="0.25">
      <c r="A191" s="123"/>
      <c r="B191" s="240"/>
      <c r="C191" s="123"/>
      <c r="D191" s="123"/>
      <c r="E191" s="123"/>
      <c r="F191" s="123"/>
      <c r="G191" s="123"/>
      <c r="H191" s="123"/>
      <c r="I191" s="123"/>
      <c r="J191" s="267"/>
      <c r="K191" s="232"/>
      <c r="L191" s="123"/>
      <c r="M191" s="259"/>
      <c r="N191" s="123"/>
      <c r="O191" s="123"/>
      <c r="P191" s="123"/>
      <c r="Q191" s="123"/>
      <c r="AJ191" s="122"/>
      <c r="AW191" s="122"/>
      <c r="AX191" s="122"/>
    </row>
    <row r="192" spans="1:50" ht="12" customHeight="1" x14ac:dyDescent="0.25">
      <c r="A192" s="123"/>
      <c r="B192" s="240"/>
      <c r="C192" s="123"/>
      <c r="D192" s="123"/>
      <c r="E192" s="123"/>
      <c r="F192" s="123"/>
      <c r="G192" s="123"/>
      <c r="H192" s="123"/>
      <c r="I192" s="123"/>
      <c r="J192" s="267"/>
      <c r="K192" s="232"/>
      <c r="L192" s="123"/>
      <c r="M192" s="259"/>
      <c r="N192" s="123"/>
      <c r="O192" s="123"/>
      <c r="P192" s="123"/>
      <c r="Q192" s="123"/>
      <c r="AJ192" s="122"/>
      <c r="AW192" s="122"/>
      <c r="AX192" s="122"/>
    </row>
    <row r="193" spans="1:50" ht="12" customHeight="1" x14ac:dyDescent="0.25">
      <c r="A193" s="123"/>
      <c r="B193" s="240"/>
      <c r="C193" s="123"/>
      <c r="D193" s="123"/>
      <c r="E193" s="123"/>
      <c r="F193" s="123"/>
      <c r="G193" s="123"/>
      <c r="H193" s="123"/>
      <c r="I193" s="123"/>
      <c r="J193" s="267"/>
      <c r="K193" s="232"/>
      <c r="L193" s="123"/>
      <c r="M193" s="259"/>
      <c r="N193" s="123"/>
      <c r="O193" s="123"/>
      <c r="P193" s="123"/>
      <c r="Q193" s="123"/>
      <c r="AJ193" s="122"/>
      <c r="AW193" s="122"/>
      <c r="AX193" s="122"/>
    </row>
    <row r="194" spans="1:50" ht="12" customHeight="1" x14ac:dyDescent="0.25">
      <c r="A194" s="123"/>
      <c r="B194" s="240"/>
      <c r="C194" s="123"/>
      <c r="D194" s="123"/>
      <c r="E194" s="123"/>
      <c r="F194" s="123"/>
      <c r="G194" s="123"/>
      <c r="H194" s="123"/>
      <c r="I194" s="123"/>
      <c r="J194" s="267"/>
      <c r="K194" s="232"/>
      <c r="L194" s="123"/>
      <c r="M194" s="259"/>
      <c r="N194" s="123"/>
      <c r="O194" s="123"/>
      <c r="P194" s="123"/>
      <c r="Q194" s="123"/>
      <c r="AJ194" s="122"/>
      <c r="AW194" s="122"/>
      <c r="AX194" s="122"/>
    </row>
    <row r="195" spans="1:50" ht="12" customHeight="1" x14ac:dyDescent="0.25">
      <c r="A195" s="123"/>
      <c r="B195" s="240"/>
      <c r="C195" s="123"/>
      <c r="D195" s="123"/>
      <c r="E195" s="123"/>
      <c r="F195" s="123"/>
      <c r="G195" s="123"/>
      <c r="H195" s="123"/>
      <c r="I195" s="123"/>
      <c r="J195" s="267"/>
      <c r="K195" s="232"/>
      <c r="L195" s="123"/>
      <c r="M195" s="259"/>
      <c r="N195" s="123"/>
      <c r="O195" s="123"/>
      <c r="P195" s="123"/>
      <c r="Q195" s="123"/>
      <c r="AJ195" s="122"/>
      <c r="AW195" s="122"/>
      <c r="AX195" s="122"/>
    </row>
    <row r="196" spans="1:50" ht="12" customHeight="1" x14ac:dyDescent="0.25">
      <c r="A196" s="123"/>
      <c r="B196" s="240"/>
      <c r="C196" s="123"/>
      <c r="D196" s="123"/>
      <c r="E196" s="123"/>
      <c r="F196" s="123"/>
      <c r="G196" s="123"/>
      <c r="H196" s="123"/>
      <c r="I196" s="123"/>
      <c r="J196" s="267"/>
      <c r="K196" s="232"/>
      <c r="L196" s="123"/>
      <c r="M196" s="259"/>
      <c r="N196" s="123"/>
      <c r="O196" s="123"/>
      <c r="P196" s="123"/>
      <c r="Q196" s="123"/>
      <c r="AJ196" s="122"/>
      <c r="AW196" s="122"/>
      <c r="AX196" s="122"/>
    </row>
    <row r="197" spans="1:50" ht="12" customHeight="1" x14ac:dyDescent="0.25">
      <c r="A197" s="123"/>
      <c r="B197" s="240"/>
      <c r="C197" s="123"/>
      <c r="D197" s="123"/>
      <c r="E197" s="123"/>
      <c r="F197" s="123"/>
      <c r="G197" s="123"/>
      <c r="H197" s="123"/>
      <c r="I197" s="123"/>
      <c r="J197" s="267"/>
      <c r="K197" s="232"/>
      <c r="L197" s="123"/>
      <c r="M197" s="259"/>
      <c r="N197" s="123"/>
      <c r="O197" s="123"/>
      <c r="P197" s="123"/>
      <c r="Q197" s="123"/>
      <c r="AJ197" s="122"/>
      <c r="AW197" s="122"/>
      <c r="AX197" s="122"/>
    </row>
    <row r="198" spans="1:50" ht="12" customHeight="1" x14ac:dyDescent="0.25">
      <c r="A198" s="123"/>
      <c r="B198" s="240"/>
      <c r="C198" s="123"/>
      <c r="D198" s="123"/>
      <c r="E198" s="123"/>
      <c r="F198" s="123"/>
      <c r="G198" s="123"/>
      <c r="H198" s="123"/>
      <c r="I198" s="123"/>
      <c r="J198" s="267"/>
      <c r="K198" s="232"/>
      <c r="L198" s="123"/>
      <c r="M198" s="259"/>
      <c r="N198" s="123"/>
      <c r="O198" s="123"/>
      <c r="P198" s="123"/>
      <c r="Q198" s="123"/>
      <c r="AJ198" s="122"/>
      <c r="AW198" s="122"/>
      <c r="AX198" s="122"/>
    </row>
    <row r="199" spans="1:50" ht="12" customHeight="1" x14ac:dyDescent="0.25">
      <c r="A199" s="123"/>
      <c r="B199" s="240"/>
      <c r="C199" s="123"/>
      <c r="D199" s="123"/>
      <c r="E199" s="123"/>
      <c r="F199" s="123"/>
      <c r="G199" s="123"/>
      <c r="H199" s="123"/>
      <c r="I199" s="123"/>
      <c r="J199" s="267"/>
      <c r="K199" s="232"/>
      <c r="L199" s="123"/>
      <c r="M199" s="259"/>
      <c r="N199" s="123"/>
      <c r="O199" s="123"/>
      <c r="P199" s="123"/>
      <c r="Q199" s="123"/>
      <c r="AJ199" s="122"/>
      <c r="AW199" s="122"/>
      <c r="AX199" s="122"/>
    </row>
    <row r="200" spans="1:50" ht="12" customHeight="1" x14ac:dyDescent="0.25">
      <c r="A200" s="123"/>
      <c r="B200" s="240"/>
      <c r="C200" s="123"/>
      <c r="D200" s="123"/>
      <c r="E200" s="123"/>
      <c r="F200" s="123"/>
      <c r="G200" s="123"/>
      <c r="H200" s="123"/>
      <c r="I200" s="123"/>
      <c r="J200" s="267"/>
      <c r="K200" s="232"/>
      <c r="L200" s="123"/>
      <c r="M200" s="259"/>
      <c r="N200" s="123"/>
      <c r="O200" s="123"/>
      <c r="P200" s="123"/>
      <c r="Q200" s="123"/>
      <c r="AJ200" s="122"/>
      <c r="AW200" s="122"/>
      <c r="AX200" s="122"/>
    </row>
    <row r="201" spans="1:50" ht="12" customHeight="1" x14ac:dyDescent="0.25">
      <c r="A201" s="123"/>
      <c r="B201" s="240"/>
      <c r="C201" s="123"/>
      <c r="D201" s="123"/>
      <c r="E201" s="123"/>
      <c r="F201" s="123"/>
      <c r="G201" s="123"/>
      <c r="H201" s="123"/>
      <c r="I201" s="123"/>
      <c r="J201" s="267"/>
      <c r="K201" s="232"/>
      <c r="L201" s="123"/>
      <c r="M201" s="259"/>
      <c r="N201" s="123"/>
      <c r="O201" s="123"/>
      <c r="P201" s="123"/>
      <c r="Q201" s="123"/>
      <c r="AJ201" s="122"/>
      <c r="AW201" s="122"/>
      <c r="AX201" s="122"/>
    </row>
    <row r="202" spans="1:50" ht="12" customHeight="1" x14ac:dyDescent="0.25">
      <c r="A202" s="123"/>
      <c r="B202" s="240"/>
      <c r="C202" s="123"/>
      <c r="D202" s="123"/>
      <c r="E202" s="123"/>
      <c r="F202" s="123"/>
      <c r="G202" s="123"/>
      <c r="H202" s="123"/>
      <c r="I202" s="123"/>
      <c r="J202" s="267"/>
      <c r="K202" s="232"/>
      <c r="L202" s="123"/>
      <c r="M202" s="259"/>
      <c r="N202" s="123"/>
      <c r="O202" s="123"/>
      <c r="P202" s="123"/>
      <c r="Q202" s="123"/>
      <c r="AJ202" s="122"/>
      <c r="AW202" s="122"/>
      <c r="AX202" s="122"/>
    </row>
    <row r="203" spans="1:50" ht="12" customHeight="1" x14ac:dyDescent="0.25">
      <c r="A203" s="123"/>
      <c r="B203" s="240"/>
      <c r="C203" s="123"/>
      <c r="D203" s="123"/>
      <c r="E203" s="123"/>
      <c r="F203" s="123"/>
      <c r="G203" s="123"/>
      <c r="H203" s="123"/>
      <c r="I203" s="123"/>
      <c r="J203" s="267"/>
      <c r="K203" s="232"/>
      <c r="L203" s="123"/>
      <c r="M203" s="259"/>
      <c r="N203" s="123"/>
      <c r="O203" s="123"/>
      <c r="P203" s="123"/>
      <c r="Q203" s="123"/>
      <c r="AJ203" s="122"/>
      <c r="AW203" s="122"/>
      <c r="AX203" s="122"/>
    </row>
    <row r="204" spans="1:50" ht="12" customHeight="1" x14ac:dyDescent="0.25">
      <c r="A204" s="123"/>
      <c r="B204" s="240"/>
      <c r="C204" s="123"/>
      <c r="D204" s="123"/>
      <c r="E204" s="123"/>
      <c r="F204" s="123"/>
      <c r="G204" s="123"/>
      <c r="H204" s="123"/>
      <c r="I204" s="123"/>
      <c r="J204" s="267"/>
      <c r="K204" s="232"/>
      <c r="L204" s="123"/>
      <c r="M204" s="259"/>
      <c r="N204" s="123"/>
      <c r="O204" s="123"/>
      <c r="P204" s="123"/>
      <c r="Q204" s="123"/>
      <c r="AJ204" s="122"/>
      <c r="AW204" s="122"/>
      <c r="AX204" s="122"/>
    </row>
    <row r="205" spans="1:50" ht="12" customHeight="1" x14ac:dyDescent="0.25">
      <c r="A205" s="123"/>
      <c r="B205" s="240"/>
      <c r="C205" s="123"/>
      <c r="D205" s="123"/>
      <c r="E205" s="123"/>
      <c r="F205" s="123"/>
      <c r="G205" s="123"/>
      <c r="H205" s="123"/>
      <c r="I205" s="123"/>
      <c r="J205" s="267"/>
      <c r="K205" s="232"/>
      <c r="L205" s="123"/>
      <c r="M205" s="259"/>
      <c r="N205" s="123"/>
      <c r="O205" s="123"/>
      <c r="P205" s="123"/>
      <c r="Q205" s="123"/>
      <c r="AJ205" s="122"/>
      <c r="AW205" s="122"/>
      <c r="AX205" s="122"/>
    </row>
    <row r="206" spans="1:50" ht="12" customHeight="1" x14ac:dyDescent="0.25">
      <c r="A206" s="123"/>
      <c r="B206" s="240"/>
      <c r="C206" s="123"/>
      <c r="D206" s="123"/>
      <c r="E206" s="123"/>
      <c r="F206" s="123"/>
      <c r="G206" s="123"/>
      <c r="H206" s="123"/>
      <c r="I206" s="123"/>
      <c r="J206" s="267"/>
      <c r="K206" s="232"/>
      <c r="L206" s="123"/>
      <c r="M206" s="259"/>
      <c r="N206" s="123"/>
      <c r="O206" s="123"/>
      <c r="P206" s="123"/>
      <c r="Q206" s="123"/>
      <c r="AJ206" s="122"/>
      <c r="AW206" s="122"/>
      <c r="AX206" s="122"/>
    </row>
    <row r="207" spans="1:50" ht="12" customHeight="1" x14ac:dyDescent="0.25">
      <c r="A207" s="123"/>
      <c r="B207" s="240"/>
      <c r="C207" s="123"/>
      <c r="D207" s="123"/>
      <c r="E207" s="123"/>
      <c r="F207" s="123"/>
      <c r="G207" s="123"/>
      <c r="H207" s="123"/>
      <c r="I207" s="123"/>
      <c r="J207" s="267"/>
      <c r="K207" s="232"/>
      <c r="L207" s="123"/>
      <c r="M207" s="259"/>
      <c r="N207" s="123"/>
      <c r="O207" s="123"/>
      <c r="P207" s="123"/>
      <c r="Q207" s="123"/>
      <c r="AJ207" s="122"/>
      <c r="AW207" s="122"/>
      <c r="AX207" s="122"/>
    </row>
    <row r="208" spans="1:50" ht="12" customHeight="1" x14ac:dyDescent="0.25">
      <c r="A208" s="123"/>
      <c r="B208" s="240"/>
      <c r="C208" s="123"/>
      <c r="D208" s="123"/>
      <c r="E208" s="123"/>
      <c r="F208" s="123"/>
      <c r="G208" s="123"/>
      <c r="H208" s="123"/>
      <c r="I208" s="123"/>
      <c r="J208" s="267"/>
      <c r="K208" s="232"/>
      <c r="L208" s="123"/>
      <c r="M208" s="259"/>
      <c r="N208" s="123"/>
      <c r="O208" s="123"/>
      <c r="P208" s="123"/>
      <c r="Q208" s="123"/>
      <c r="AJ208" s="122"/>
      <c r="AW208" s="122"/>
      <c r="AX208" s="122"/>
    </row>
    <row r="209" spans="1:50" ht="12" customHeight="1" x14ac:dyDescent="0.25">
      <c r="A209" s="123"/>
      <c r="B209" s="240"/>
      <c r="C209" s="123"/>
      <c r="D209" s="123"/>
      <c r="E209" s="123"/>
      <c r="F209" s="123"/>
      <c r="G209" s="123"/>
      <c r="H209" s="123"/>
      <c r="I209" s="123"/>
      <c r="J209" s="267"/>
      <c r="K209" s="232"/>
      <c r="L209" s="123"/>
      <c r="M209" s="259"/>
      <c r="N209" s="123"/>
      <c r="O209" s="123"/>
      <c r="P209" s="123"/>
      <c r="Q209" s="123"/>
      <c r="AJ209" s="122"/>
      <c r="AW209" s="122"/>
      <c r="AX209" s="122"/>
    </row>
    <row r="210" spans="1:50" ht="12" customHeight="1" x14ac:dyDescent="0.25">
      <c r="A210" s="123"/>
      <c r="B210" s="240"/>
      <c r="C210" s="123"/>
      <c r="D210" s="123"/>
      <c r="E210" s="123"/>
      <c r="F210" s="123"/>
      <c r="G210" s="123"/>
      <c r="H210" s="123"/>
      <c r="I210" s="123"/>
      <c r="J210" s="267"/>
      <c r="K210" s="232"/>
      <c r="L210" s="123"/>
      <c r="M210" s="259"/>
      <c r="N210" s="123"/>
      <c r="O210" s="123"/>
      <c r="P210" s="123"/>
      <c r="Q210" s="123"/>
      <c r="AJ210" s="122"/>
      <c r="AW210" s="122"/>
      <c r="AX210" s="122"/>
    </row>
    <row r="211" spans="1:50" ht="12" customHeight="1" x14ac:dyDescent="0.25">
      <c r="A211" s="123"/>
      <c r="B211" s="240"/>
      <c r="C211" s="123"/>
      <c r="D211" s="123"/>
      <c r="E211" s="123"/>
      <c r="F211" s="123"/>
      <c r="G211" s="123"/>
      <c r="H211" s="123"/>
      <c r="I211" s="123"/>
      <c r="J211" s="267"/>
      <c r="K211" s="232"/>
      <c r="L211" s="123"/>
      <c r="M211" s="259"/>
      <c r="N211" s="123"/>
      <c r="O211" s="123"/>
      <c r="P211" s="123"/>
      <c r="Q211" s="123"/>
      <c r="AJ211" s="122"/>
      <c r="AW211" s="122"/>
      <c r="AX211" s="122"/>
    </row>
    <row r="212" spans="1:50" ht="12" customHeight="1" x14ac:dyDescent="0.25">
      <c r="A212" s="123"/>
      <c r="B212" s="240"/>
      <c r="C212" s="123"/>
      <c r="D212" s="123"/>
      <c r="E212" s="123"/>
      <c r="F212" s="123"/>
      <c r="G212" s="123"/>
      <c r="H212" s="123"/>
      <c r="I212" s="123"/>
      <c r="J212" s="267"/>
      <c r="K212" s="232"/>
      <c r="L212" s="123"/>
      <c r="M212" s="259"/>
      <c r="N212" s="123"/>
      <c r="O212" s="123"/>
      <c r="P212" s="123"/>
      <c r="Q212" s="123"/>
      <c r="AJ212" s="122"/>
      <c r="AW212" s="122"/>
      <c r="AX212" s="122"/>
    </row>
    <row r="213" spans="1:50" ht="12" customHeight="1" x14ac:dyDescent="0.25">
      <c r="A213" s="123"/>
      <c r="B213" s="240"/>
      <c r="C213" s="123"/>
      <c r="D213" s="123"/>
      <c r="E213" s="123"/>
      <c r="F213" s="123"/>
      <c r="G213" s="123"/>
      <c r="H213" s="123"/>
      <c r="I213" s="123"/>
      <c r="J213" s="267"/>
      <c r="K213" s="232"/>
      <c r="L213" s="123"/>
      <c r="M213" s="259"/>
      <c r="N213" s="123"/>
      <c r="O213" s="123"/>
      <c r="P213" s="123"/>
      <c r="Q213" s="123"/>
      <c r="AJ213" s="122"/>
      <c r="AW213" s="122"/>
      <c r="AX213" s="122"/>
    </row>
    <row r="214" spans="1:50" ht="12" customHeight="1" x14ac:dyDescent="0.25">
      <c r="A214" s="123"/>
      <c r="B214" s="240"/>
      <c r="C214" s="123"/>
      <c r="D214" s="123"/>
      <c r="E214" s="123"/>
      <c r="F214" s="123"/>
      <c r="G214" s="123"/>
      <c r="H214" s="123"/>
      <c r="I214" s="123"/>
      <c r="J214" s="267"/>
      <c r="K214" s="232"/>
      <c r="L214" s="123"/>
      <c r="M214" s="259"/>
      <c r="N214" s="123"/>
      <c r="O214" s="123"/>
      <c r="P214" s="123"/>
      <c r="Q214" s="123"/>
      <c r="AJ214" s="122"/>
      <c r="AW214" s="122"/>
      <c r="AX214" s="122"/>
    </row>
    <row r="215" spans="1:50" ht="12" customHeight="1" x14ac:dyDescent="0.25">
      <c r="A215" s="123"/>
      <c r="B215" s="240"/>
      <c r="C215" s="123"/>
      <c r="D215" s="123"/>
      <c r="E215" s="123"/>
      <c r="F215" s="123"/>
      <c r="G215" s="123"/>
      <c r="H215" s="123"/>
      <c r="I215" s="123"/>
      <c r="J215" s="267"/>
      <c r="K215" s="232"/>
      <c r="L215" s="123"/>
      <c r="M215" s="259"/>
      <c r="N215" s="123"/>
      <c r="O215" s="123"/>
      <c r="P215" s="123"/>
      <c r="Q215" s="123"/>
      <c r="AJ215" s="122"/>
      <c r="AW215" s="122"/>
      <c r="AX215" s="122"/>
    </row>
    <row r="216" spans="1:50" ht="12" customHeight="1" x14ac:dyDescent="0.25">
      <c r="A216" s="123"/>
      <c r="B216" s="240"/>
      <c r="C216" s="123"/>
      <c r="D216" s="123"/>
      <c r="E216" s="123"/>
      <c r="F216" s="123"/>
      <c r="G216" s="123"/>
      <c r="H216" s="123"/>
      <c r="I216" s="123"/>
      <c r="J216" s="267"/>
      <c r="K216" s="232"/>
      <c r="L216" s="123"/>
      <c r="M216" s="259"/>
      <c r="N216" s="123"/>
      <c r="O216" s="123"/>
      <c r="P216" s="123"/>
      <c r="Q216" s="123"/>
      <c r="AJ216" s="122"/>
      <c r="AW216" s="122"/>
      <c r="AX216" s="122"/>
    </row>
    <row r="217" spans="1:50" ht="13.5" customHeight="1" x14ac:dyDescent="0.25">
      <c r="A217" s="123"/>
      <c r="B217" s="240"/>
      <c r="C217" s="123"/>
      <c r="D217" s="123"/>
      <c r="E217" s="123"/>
      <c r="F217" s="123"/>
      <c r="G217" s="123"/>
      <c r="H217" s="123"/>
      <c r="I217" s="123"/>
      <c r="J217" s="267"/>
      <c r="K217" s="232"/>
      <c r="L217" s="123"/>
      <c r="M217" s="259"/>
      <c r="N217" s="123"/>
      <c r="O217" s="123"/>
      <c r="P217" s="123"/>
      <c r="Q217" s="123"/>
      <c r="AJ217" s="122"/>
      <c r="AW217" s="122"/>
      <c r="AX217" s="122"/>
    </row>
    <row r="218" spans="1:50" ht="12" customHeight="1" x14ac:dyDescent="0.25">
      <c r="A218" s="123"/>
      <c r="B218" s="240"/>
      <c r="C218" s="123"/>
      <c r="D218" s="123"/>
      <c r="E218" s="123"/>
      <c r="F218" s="123"/>
      <c r="G218" s="123"/>
      <c r="H218" s="123"/>
      <c r="I218" s="123"/>
      <c r="J218" s="267"/>
      <c r="K218" s="232"/>
      <c r="L218" s="123"/>
      <c r="M218" s="259"/>
      <c r="N218" s="123"/>
      <c r="O218" s="123"/>
      <c r="P218" s="123"/>
      <c r="Q218" s="123"/>
      <c r="AJ218" s="122"/>
      <c r="AW218" s="122"/>
      <c r="AX218" s="122"/>
    </row>
    <row r="219" spans="1:50" ht="12" customHeight="1" x14ac:dyDescent="0.25">
      <c r="A219" s="123"/>
      <c r="B219" s="240"/>
      <c r="C219" s="123"/>
      <c r="D219" s="123"/>
      <c r="E219" s="123"/>
      <c r="F219" s="123"/>
      <c r="G219" s="123"/>
      <c r="H219" s="123"/>
      <c r="I219" s="123"/>
      <c r="J219" s="267"/>
      <c r="K219" s="232"/>
      <c r="L219" s="123"/>
      <c r="M219" s="259"/>
      <c r="N219" s="123"/>
      <c r="O219" s="123"/>
      <c r="P219" s="123"/>
      <c r="Q219" s="123"/>
      <c r="AJ219" s="122"/>
      <c r="AW219" s="122"/>
      <c r="AX219" s="122"/>
    </row>
    <row r="220" spans="1:50" ht="12" customHeight="1" x14ac:dyDescent="0.25">
      <c r="A220" s="123"/>
      <c r="B220" s="240"/>
      <c r="C220" s="123"/>
      <c r="D220" s="123"/>
      <c r="E220" s="123"/>
      <c r="F220" s="123"/>
      <c r="G220" s="123"/>
      <c r="H220" s="123"/>
      <c r="I220" s="123"/>
      <c r="J220" s="267"/>
      <c r="K220" s="232"/>
      <c r="L220" s="123"/>
      <c r="M220" s="259"/>
      <c r="N220" s="123"/>
      <c r="O220" s="123"/>
      <c r="P220" s="123"/>
      <c r="Q220" s="123"/>
      <c r="AJ220" s="122"/>
      <c r="AW220" s="122"/>
      <c r="AX220" s="122"/>
    </row>
    <row r="221" spans="1:50" ht="12" customHeight="1" x14ac:dyDescent="0.25">
      <c r="A221" s="123"/>
      <c r="B221" s="240"/>
      <c r="C221" s="123"/>
      <c r="D221" s="123"/>
      <c r="E221" s="123"/>
      <c r="F221" s="123"/>
      <c r="G221" s="123"/>
      <c r="H221" s="123"/>
      <c r="I221" s="123"/>
      <c r="J221" s="267"/>
      <c r="K221" s="232"/>
      <c r="L221" s="123"/>
      <c r="M221" s="259"/>
      <c r="N221" s="123"/>
      <c r="O221" s="123"/>
      <c r="P221" s="123"/>
      <c r="Q221" s="123"/>
      <c r="AJ221" s="122"/>
      <c r="AW221" s="122"/>
      <c r="AX221" s="122"/>
    </row>
    <row r="222" spans="1:50" ht="12" customHeight="1" x14ac:dyDescent="0.25">
      <c r="A222" s="123"/>
      <c r="B222" s="240"/>
      <c r="C222" s="123"/>
      <c r="D222" s="123"/>
      <c r="E222" s="123"/>
      <c r="F222" s="123"/>
      <c r="G222" s="123"/>
      <c r="H222" s="123"/>
      <c r="I222" s="123"/>
      <c r="J222" s="267"/>
      <c r="K222" s="232"/>
      <c r="L222" s="123"/>
      <c r="M222" s="259"/>
      <c r="N222" s="123"/>
      <c r="O222" s="123"/>
      <c r="P222" s="123"/>
      <c r="Q222" s="123"/>
      <c r="AJ222" s="122"/>
      <c r="AW222" s="122"/>
      <c r="AX222" s="122"/>
    </row>
    <row r="223" spans="1:50" ht="12" customHeight="1" x14ac:dyDescent="0.25">
      <c r="A223" s="123"/>
      <c r="B223" s="240"/>
      <c r="C223" s="123"/>
      <c r="D223" s="123"/>
      <c r="E223" s="123"/>
      <c r="F223" s="123"/>
      <c r="G223" s="123"/>
      <c r="H223" s="123"/>
      <c r="I223" s="123"/>
      <c r="J223" s="267"/>
      <c r="K223" s="232"/>
      <c r="L223" s="123"/>
      <c r="M223" s="259"/>
      <c r="N223" s="123"/>
      <c r="O223" s="123"/>
      <c r="P223" s="123"/>
      <c r="Q223" s="123"/>
      <c r="AJ223" s="122"/>
      <c r="AW223" s="122"/>
      <c r="AX223" s="122"/>
    </row>
    <row r="224" spans="1:50" ht="12" customHeight="1" x14ac:dyDescent="0.25">
      <c r="A224" s="123"/>
      <c r="B224" s="240"/>
      <c r="C224" s="123"/>
      <c r="D224" s="123"/>
      <c r="E224" s="123"/>
      <c r="F224" s="123"/>
      <c r="G224" s="123"/>
      <c r="H224" s="123"/>
      <c r="I224" s="123"/>
      <c r="J224" s="267"/>
      <c r="K224" s="232"/>
      <c r="L224" s="123"/>
      <c r="M224" s="259"/>
      <c r="N224" s="123"/>
      <c r="O224" s="123"/>
      <c r="P224" s="123"/>
      <c r="Q224" s="123"/>
      <c r="AJ224" s="122"/>
      <c r="AW224" s="122"/>
      <c r="AX224" s="122"/>
    </row>
    <row r="225" spans="1:50" ht="12" customHeight="1" x14ac:dyDescent="0.25">
      <c r="A225" s="123"/>
      <c r="B225" s="240"/>
      <c r="C225" s="123"/>
      <c r="D225" s="123"/>
      <c r="E225" s="123"/>
      <c r="F225" s="123"/>
      <c r="G225" s="123"/>
      <c r="H225" s="123"/>
      <c r="I225" s="123"/>
      <c r="J225" s="267"/>
      <c r="K225" s="232"/>
      <c r="L225" s="123"/>
      <c r="M225" s="259"/>
      <c r="N225" s="123"/>
      <c r="O225" s="123"/>
      <c r="P225" s="123"/>
      <c r="Q225" s="123"/>
      <c r="AJ225" s="122"/>
      <c r="AW225" s="122"/>
      <c r="AX225" s="122"/>
    </row>
    <row r="226" spans="1:50" ht="12" customHeight="1" x14ac:dyDescent="0.25">
      <c r="A226" s="123"/>
      <c r="B226" s="240"/>
      <c r="C226" s="123"/>
      <c r="D226" s="123"/>
      <c r="E226" s="123"/>
      <c r="F226" s="123"/>
      <c r="G226" s="123"/>
      <c r="H226" s="123"/>
      <c r="I226" s="123"/>
      <c r="J226" s="267"/>
      <c r="K226" s="232"/>
      <c r="L226" s="123"/>
      <c r="M226" s="259"/>
      <c r="N226" s="123"/>
      <c r="O226" s="123"/>
      <c r="P226" s="123"/>
      <c r="Q226" s="123"/>
      <c r="AJ226" s="122"/>
      <c r="AW226" s="122"/>
      <c r="AX226" s="122"/>
    </row>
    <row r="227" spans="1:50" ht="12" customHeight="1" x14ac:dyDescent="0.25">
      <c r="A227" s="123"/>
      <c r="B227" s="240"/>
      <c r="C227" s="123"/>
      <c r="D227" s="123"/>
      <c r="E227" s="123"/>
      <c r="F227" s="123"/>
      <c r="G227" s="123"/>
      <c r="H227" s="123"/>
      <c r="I227" s="123"/>
      <c r="J227" s="267"/>
      <c r="K227" s="232"/>
      <c r="L227" s="123"/>
      <c r="M227" s="259"/>
      <c r="N227" s="123"/>
      <c r="O227" s="123"/>
      <c r="P227" s="123"/>
      <c r="Q227" s="123"/>
      <c r="AJ227" s="122"/>
      <c r="AW227" s="122"/>
      <c r="AX227" s="122"/>
    </row>
    <row r="228" spans="1:50" ht="12" customHeight="1" x14ac:dyDescent="0.25">
      <c r="A228" s="123"/>
      <c r="B228" s="240"/>
      <c r="C228" s="123"/>
      <c r="D228" s="123"/>
      <c r="E228" s="123"/>
      <c r="F228" s="123"/>
      <c r="G228" s="123"/>
      <c r="H228" s="123"/>
      <c r="I228" s="123"/>
      <c r="J228" s="267"/>
      <c r="K228" s="232"/>
      <c r="L228" s="123"/>
      <c r="M228" s="259"/>
      <c r="N228" s="123"/>
      <c r="O228" s="123"/>
      <c r="P228" s="123"/>
      <c r="Q228" s="123"/>
      <c r="AJ228" s="122"/>
      <c r="AW228" s="122"/>
      <c r="AX228" s="122"/>
    </row>
    <row r="229" spans="1:50" ht="12" customHeight="1" x14ac:dyDescent="0.25">
      <c r="A229" s="107"/>
      <c r="B229" s="240"/>
      <c r="C229" s="123"/>
      <c r="D229" s="123"/>
      <c r="E229" s="123"/>
      <c r="F229" s="123"/>
      <c r="G229" s="123"/>
      <c r="H229" s="123"/>
      <c r="I229" s="123"/>
      <c r="J229" s="267"/>
      <c r="K229" s="232"/>
      <c r="L229" s="123"/>
      <c r="M229" s="259"/>
      <c r="N229" s="123"/>
      <c r="O229" s="123"/>
      <c r="P229" s="123"/>
      <c r="Q229" s="123"/>
      <c r="AJ229" s="122"/>
      <c r="AW229" s="122"/>
      <c r="AX229" s="122"/>
    </row>
    <row r="230" spans="1:50" ht="12" customHeight="1" x14ac:dyDescent="0.25">
      <c r="A230" s="107"/>
      <c r="B230" s="240"/>
      <c r="C230" s="123"/>
      <c r="D230" s="123"/>
      <c r="E230" s="123"/>
      <c r="F230" s="123"/>
      <c r="G230" s="123"/>
      <c r="H230" s="123"/>
      <c r="I230" s="123"/>
      <c r="J230" s="267"/>
      <c r="K230" s="232"/>
      <c r="L230" s="123"/>
      <c r="M230" s="259"/>
      <c r="N230" s="123"/>
      <c r="O230" s="123"/>
      <c r="P230" s="123"/>
      <c r="Q230" s="123"/>
      <c r="AJ230" s="122"/>
      <c r="AW230" s="122"/>
      <c r="AX230" s="122"/>
    </row>
    <row r="231" spans="1:50" ht="12" customHeight="1" x14ac:dyDescent="0.25">
      <c r="A231" s="107"/>
      <c r="B231" s="107"/>
      <c r="C231" s="107"/>
      <c r="D231" s="111"/>
      <c r="E231" s="123"/>
      <c r="F231" s="123"/>
      <c r="G231" s="123"/>
      <c r="H231" s="123"/>
      <c r="I231" s="123"/>
      <c r="J231" s="267"/>
      <c r="K231" s="232"/>
      <c r="L231" s="123"/>
      <c r="M231" s="259"/>
      <c r="N231" s="123"/>
      <c r="O231" s="123"/>
      <c r="P231" s="123"/>
      <c r="Q231" s="123"/>
      <c r="AJ231" s="122"/>
      <c r="AW231" s="122"/>
      <c r="AX231" s="122"/>
    </row>
    <row r="232" spans="1:50" ht="12" customHeight="1" x14ac:dyDescent="0.25">
      <c r="A232" s="107"/>
      <c r="B232" s="107"/>
      <c r="C232" s="107"/>
      <c r="D232" s="111"/>
      <c r="E232" s="123"/>
      <c r="F232" s="123"/>
      <c r="G232" s="123"/>
      <c r="H232" s="123"/>
      <c r="I232" s="123"/>
      <c r="J232" s="267"/>
      <c r="K232" s="232"/>
      <c r="L232" s="123"/>
      <c r="M232" s="259"/>
      <c r="N232" s="123"/>
      <c r="O232" s="123"/>
      <c r="P232" s="123"/>
      <c r="Q232" s="123"/>
      <c r="AJ232" s="122"/>
      <c r="AW232" s="122"/>
      <c r="AX232" s="122"/>
    </row>
    <row r="233" spans="1:50" ht="12" customHeight="1" x14ac:dyDescent="0.25">
      <c r="A233" s="107"/>
      <c r="B233" s="107"/>
      <c r="C233" s="107"/>
      <c r="D233" s="111"/>
      <c r="E233" s="123"/>
      <c r="F233" s="123"/>
      <c r="G233" s="123"/>
      <c r="H233" s="123"/>
      <c r="I233" s="123"/>
      <c r="J233" s="267"/>
      <c r="K233" s="232"/>
      <c r="L233" s="123"/>
      <c r="M233" s="259"/>
      <c r="N233" s="123"/>
      <c r="O233" s="123"/>
      <c r="P233" s="123"/>
      <c r="Q233" s="123"/>
      <c r="AJ233" s="122"/>
      <c r="AW233" s="122"/>
      <c r="AX233" s="122"/>
    </row>
    <row r="234" spans="1:50" ht="12" customHeight="1" x14ac:dyDescent="0.25">
      <c r="A234" s="107"/>
      <c r="B234" s="107"/>
      <c r="C234" s="107"/>
      <c r="D234" s="111"/>
      <c r="E234" s="123"/>
      <c r="F234" s="123"/>
      <c r="G234" s="123"/>
      <c r="H234" s="123"/>
      <c r="I234" s="123"/>
      <c r="J234" s="267"/>
      <c r="K234" s="232"/>
      <c r="L234" s="123"/>
      <c r="M234" s="259"/>
      <c r="N234" s="123"/>
      <c r="O234" s="123"/>
      <c r="P234" s="123"/>
      <c r="Q234" s="123"/>
      <c r="AJ234" s="122"/>
      <c r="AW234" s="122"/>
      <c r="AX234" s="122"/>
    </row>
    <row r="235" spans="1:50" ht="12" customHeight="1" x14ac:dyDescent="0.25">
      <c r="A235" s="107"/>
      <c r="B235" s="107"/>
      <c r="C235" s="107"/>
      <c r="D235" s="107"/>
      <c r="E235" s="123"/>
      <c r="F235" s="194"/>
      <c r="G235" s="194"/>
      <c r="H235" s="194"/>
      <c r="I235" s="194"/>
      <c r="J235" s="123"/>
      <c r="K235" s="232"/>
      <c r="L235" s="123"/>
      <c r="M235" s="259"/>
      <c r="N235" s="123"/>
      <c r="O235" s="123"/>
      <c r="P235" s="123"/>
      <c r="Q235" s="123"/>
      <c r="AJ235" s="122"/>
      <c r="AW235" s="122"/>
      <c r="AX235" s="122"/>
    </row>
    <row r="236" spans="1:50" ht="12" customHeight="1" x14ac:dyDescent="0.25">
      <c r="A236" s="105"/>
      <c r="B236" s="107"/>
      <c r="C236" s="107"/>
      <c r="D236" s="107"/>
      <c r="E236" s="123"/>
      <c r="F236" s="123"/>
      <c r="G236" s="123"/>
      <c r="H236" s="123"/>
      <c r="I236" s="123"/>
      <c r="J236" s="123"/>
      <c r="K236" s="232"/>
      <c r="L236" s="123"/>
      <c r="M236" s="259"/>
      <c r="N236" s="123"/>
      <c r="O236" s="123"/>
      <c r="P236" s="123"/>
      <c r="Q236" s="123"/>
      <c r="AJ236" s="122"/>
      <c r="AW236" s="122"/>
      <c r="AX236" s="122"/>
    </row>
    <row r="237" spans="1:50" ht="12" customHeight="1" x14ac:dyDescent="0.25">
      <c r="A237" s="433" t="e">
        <f>(F13-#REF!)*12%</f>
        <v>#REF!</v>
      </c>
      <c r="B237" s="107"/>
      <c r="C237" s="107"/>
      <c r="D237" s="274"/>
      <c r="E237" s="275"/>
      <c r="F237" s="275"/>
      <c r="G237" s="275"/>
      <c r="H237" s="275"/>
      <c r="I237" s="276"/>
      <c r="J237" s="123"/>
      <c r="K237" s="232"/>
      <c r="L237" s="123"/>
      <c r="M237" s="259"/>
      <c r="N237" s="123"/>
      <c r="O237" s="123"/>
      <c r="P237" s="123"/>
      <c r="Q237" s="123"/>
      <c r="AJ237" s="122"/>
      <c r="AW237" s="122"/>
      <c r="AX237" s="122"/>
    </row>
    <row r="238" spans="1:50" ht="12" customHeight="1" x14ac:dyDescent="0.25">
      <c r="A238" s="434"/>
      <c r="B238" s="107"/>
      <c r="C238" s="107"/>
      <c r="D238" s="274"/>
      <c r="E238" s="275"/>
      <c r="F238" s="275"/>
      <c r="G238" s="275"/>
      <c r="H238" s="275"/>
      <c r="I238" s="254"/>
      <c r="J238" s="123"/>
      <c r="K238" s="232"/>
      <c r="L238" s="123"/>
      <c r="M238" s="259"/>
      <c r="N238" s="123"/>
      <c r="O238" s="123"/>
      <c r="P238" s="123"/>
      <c r="Q238" s="123"/>
      <c r="AJ238" s="122"/>
      <c r="AW238" s="122"/>
      <c r="AX238" s="122"/>
    </row>
    <row r="239" spans="1:50" ht="12" customHeight="1" x14ac:dyDescent="0.25">
      <c r="A239" s="105"/>
      <c r="B239" s="433"/>
      <c r="C239" s="105"/>
      <c r="D239" s="277"/>
      <c r="E239" s="278"/>
      <c r="F239" s="279"/>
      <c r="G239" s="279"/>
      <c r="H239" s="279"/>
      <c r="I239" s="276"/>
      <c r="J239" s="123"/>
      <c r="K239" s="232"/>
      <c r="L239" s="123"/>
      <c r="M239" s="259"/>
      <c r="N239" s="123"/>
      <c r="O239" s="123"/>
      <c r="P239" s="123"/>
      <c r="Q239" s="123"/>
      <c r="AJ239" s="122"/>
      <c r="AW239" s="122"/>
      <c r="AX239" s="122"/>
    </row>
    <row r="240" spans="1:50" ht="17.25" customHeight="1" x14ac:dyDescent="0.25">
      <c r="B240" s="105"/>
      <c r="C240" s="105"/>
      <c r="D240" s="277"/>
      <c r="F240" s="279"/>
      <c r="G240" s="279"/>
      <c r="H240" s="279"/>
      <c r="I240" s="280"/>
      <c r="J240" s="123"/>
      <c r="K240" s="232"/>
      <c r="L240" s="123"/>
      <c r="M240" s="259"/>
      <c r="N240" s="123"/>
      <c r="O240" s="123"/>
      <c r="P240" s="123"/>
      <c r="Q240" s="123"/>
      <c r="AJ240" s="122"/>
      <c r="AW240" s="122"/>
      <c r="AX240" s="122"/>
    </row>
    <row r="241" spans="2:50" ht="15.75" customHeight="1" x14ac:dyDescent="0.25">
      <c r="B241" s="105"/>
      <c r="C241" s="105"/>
      <c r="D241" s="277"/>
      <c r="E241" s="278"/>
      <c r="F241" s="278"/>
      <c r="G241" s="278"/>
      <c r="H241" s="278"/>
      <c r="J241" s="123"/>
      <c r="K241" s="232"/>
      <c r="L241" s="123"/>
      <c r="M241" s="259"/>
      <c r="N241" s="123"/>
      <c r="O241" s="123"/>
      <c r="P241" s="123"/>
      <c r="Q241" s="123"/>
      <c r="AJ241" s="122"/>
      <c r="AW241" s="122"/>
      <c r="AX241" s="122"/>
    </row>
    <row r="242" spans="2:50" ht="12.75" customHeight="1" x14ac:dyDescent="0.25">
      <c r="D242" s="281"/>
      <c r="E242" s="278"/>
      <c r="F242" s="278"/>
      <c r="G242" s="278"/>
      <c r="H242" s="278"/>
      <c r="J242" s="123"/>
      <c r="K242" s="232"/>
      <c r="L242" s="123"/>
      <c r="M242" s="259"/>
      <c r="N242" s="123"/>
      <c r="O242" s="123"/>
      <c r="P242" s="123"/>
      <c r="Q242" s="123"/>
      <c r="AJ242" s="122"/>
      <c r="AW242" s="122"/>
      <c r="AX242" s="122"/>
    </row>
    <row r="243" spans="2:50" ht="12.75" customHeight="1" x14ac:dyDescent="0.25">
      <c r="D243" s="281"/>
      <c r="E243" s="278"/>
      <c r="F243" s="278"/>
      <c r="G243" s="278"/>
      <c r="H243" s="278"/>
      <c r="K243" s="232"/>
      <c r="L243" s="123"/>
      <c r="M243" s="259"/>
      <c r="N243" s="123"/>
      <c r="O243" s="123"/>
      <c r="P243" s="123"/>
      <c r="Q243" s="123"/>
      <c r="AJ243" s="122"/>
      <c r="AW243" s="122"/>
      <c r="AX243" s="122"/>
    </row>
    <row r="244" spans="2:50" ht="12.75" customHeight="1" x14ac:dyDescent="0.25">
      <c r="D244" s="281"/>
      <c r="E244" s="278"/>
      <c r="F244" s="278"/>
      <c r="G244" s="278"/>
      <c r="H244" s="278"/>
      <c r="K244" s="232"/>
      <c r="L244" s="123"/>
      <c r="M244" s="259"/>
      <c r="N244" s="123"/>
      <c r="O244" s="123"/>
      <c r="P244" s="123"/>
      <c r="Q244" s="123"/>
      <c r="AJ244" s="122"/>
      <c r="AW244" s="122"/>
      <c r="AX244" s="122"/>
    </row>
    <row r="245" spans="2:50" ht="12.75" customHeight="1" x14ac:dyDescent="0.25">
      <c r="D245" s="281"/>
      <c r="E245" s="278"/>
      <c r="F245" s="278"/>
      <c r="G245" s="278"/>
      <c r="H245" s="278"/>
      <c r="J245" s="282"/>
      <c r="K245" s="232"/>
      <c r="L245" s="123"/>
      <c r="M245" s="259"/>
      <c r="N245" s="123"/>
      <c r="O245" s="123"/>
      <c r="P245" s="123"/>
      <c r="Q245" s="123"/>
      <c r="AJ245" s="122"/>
      <c r="AW245" s="122"/>
      <c r="AX245" s="122"/>
    </row>
    <row r="246" spans="2:50" ht="12.75" customHeight="1" x14ac:dyDescent="0.25">
      <c r="D246" s="281"/>
      <c r="E246" s="278"/>
      <c r="F246" s="278"/>
      <c r="G246" s="278"/>
      <c r="H246" s="278"/>
      <c r="J246" s="276"/>
      <c r="K246" s="232"/>
      <c r="L246" s="123"/>
      <c r="M246" s="259"/>
      <c r="N246" s="123"/>
      <c r="O246" s="123"/>
      <c r="P246" s="123"/>
      <c r="Q246" s="123"/>
      <c r="AJ246" s="122"/>
      <c r="AW246" s="122"/>
      <c r="AX246" s="122"/>
    </row>
    <row r="247" spans="2:50" ht="12.75" customHeight="1" x14ac:dyDescent="0.25">
      <c r="D247" s="281"/>
      <c r="E247" s="278"/>
      <c r="F247" s="278"/>
      <c r="G247" s="278"/>
      <c r="H247" s="278"/>
      <c r="J247" s="254"/>
      <c r="K247" s="232"/>
      <c r="L247" s="123"/>
      <c r="M247" s="259"/>
      <c r="N247" s="123"/>
      <c r="O247" s="123"/>
      <c r="P247" s="123"/>
      <c r="Q247" s="123"/>
      <c r="AJ247" s="122"/>
      <c r="AW247" s="122"/>
      <c r="AX247" s="122"/>
    </row>
    <row r="248" spans="2:50" ht="12.75" customHeight="1" x14ac:dyDescent="0.25">
      <c r="D248" s="281"/>
      <c r="E248" s="278"/>
      <c r="F248" s="278"/>
      <c r="G248" s="278"/>
      <c r="H248" s="278"/>
      <c r="J248" s="276"/>
      <c r="K248" s="232"/>
      <c r="L248" s="123"/>
      <c r="M248" s="259"/>
      <c r="N248" s="123"/>
      <c r="O248" s="123"/>
      <c r="P248" s="123"/>
      <c r="Q248" s="123"/>
      <c r="AJ248" s="122"/>
      <c r="AW248" s="122"/>
      <c r="AX248" s="122"/>
    </row>
    <row r="249" spans="2:50" ht="12.75" customHeight="1" x14ac:dyDescent="0.25">
      <c r="D249" s="281"/>
      <c r="E249" s="278"/>
      <c r="F249" s="278"/>
      <c r="G249" s="278"/>
      <c r="H249" s="278"/>
      <c r="J249" s="280"/>
      <c r="K249" s="232"/>
      <c r="L249" s="123"/>
      <c r="M249" s="259"/>
      <c r="N249" s="123"/>
      <c r="O249" s="123"/>
      <c r="P249" s="123"/>
      <c r="Q249" s="123"/>
      <c r="AJ249" s="122"/>
      <c r="AW249" s="122"/>
      <c r="AX249" s="122"/>
    </row>
    <row r="250" spans="2:50" ht="12.75" customHeight="1" x14ac:dyDescent="0.25">
      <c r="D250" s="281"/>
      <c r="E250" s="278"/>
      <c r="F250" s="278"/>
      <c r="G250" s="278"/>
      <c r="H250" s="278"/>
      <c r="K250" s="232"/>
      <c r="L250" s="123"/>
      <c r="M250" s="259"/>
      <c r="N250" s="123"/>
      <c r="O250" s="123"/>
      <c r="P250" s="123"/>
      <c r="Q250" s="123"/>
      <c r="AJ250" s="122"/>
      <c r="AW250" s="122"/>
      <c r="AX250" s="122"/>
    </row>
    <row r="251" spans="2:50" ht="12.75" customHeight="1" x14ac:dyDescent="0.25">
      <c r="D251" s="281"/>
      <c r="E251" s="278"/>
      <c r="F251" s="278"/>
      <c r="G251" s="278"/>
      <c r="H251" s="278"/>
      <c r="K251" s="232"/>
      <c r="L251" s="123"/>
      <c r="M251" s="259"/>
      <c r="N251" s="123"/>
      <c r="O251" s="123"/>
      <c r="P251" s="123"/>
      <c r="Q251" s="123"/>
      <c r="AJ251" s="122"/>
      <c r="AW251" s="122"/>
      <c r="AX251" s="122"/>
    </row>
    <row r="252" spans="2:50" ht="12.75" customHeight="1" x14ac:dyDescent="0.25">
      <c r="D252" s="281"/>
      <c r="E252" s="278"/>
      <c r="F252" s="278"/>
      <c r="G252" s="278"/>
      <c r="H252" s="278"/>
      <c r="K252" s="232"/>
      <c r="L252" s="123"/>
      <c r="M252" s="259"/>
      <c r="N252" s="123"/>
      <c r="O252" s="123"/>
      <c r="P252" s="123"/>
      <c r="Q252" s="123"/>
      <c r="AJ252" s="122"/>
      <c r="AW252" s="122"/>
      <c r="AX252" s="122"/>
    </row>
    <row r="253" spans="2:50" ht="12.75" customHeight="1" x14ac:dyDescent="0.25">
      <c r="D253" s="281"/>
      <c r="E253" s="278"/>
      <c r="F253" s="278"/>
      <c r="G253" s="278"/>
      <c r="H253" s="278"/>
      <c r="K253" s="232"/>
      <c r="L253" s="123"/>
      <c r="M253" s="259"/>
      <c r="N253" s="123"/>
      <c r="O253" s="123"/>
      <c r="P253" s="123"/>
      <c r="Q253" s="123"/>
      <c r="AJ253" s="122"/>
      <c r="AW253" s="122"/>
      <c r="AX253" s="122"/>
    </row>
    <row r="254" spans="2:50" ht="12.75" customHeight="1" x14ac:dyDescent="0.25">
      <c r="D254" s="281"/>
      <c r="E254" s="278"/>
      <c r="F254" s="278"/>
      <c r="G254" s="278"/>
      <c r="H254" s="278"/>
      <c r="K254" s="232"/>
      <c r="L254" s="123"/>
      <c r="M254" s="259"/>
      <c r="N254" s="123"/>
      <c r="O254" s="123"/>
      <c r="P254" s="123"/>
      <c r="Q254" s="123"/>
      <c r="AJ254" s="122"/>
      <c r="AW254" s="122"/>
      <c r="AX254" s="122"/>
    </row>
    <row r="255" spans="2:50" ht="12.75" customHeight="1" x14ac:dyDescent="0.25">
      <c r="D255" s="281"/>
      <c r="E255" s="278"/>
      <c r="F255" s="278"/>
      <c r="G255" s="278"/>
      <c r="H255" s="278"/>
      <c r="K255" s="232"/>
      <c r="L255" s="123"/>
      <c r="M255" s="259"/>
      <c r="N255" s="123"/>
      <c r="O255" s="123"/>
      <c r="P255" s="123"/>
      <c r="Q255" s="123"/>
      <c r="AJ255" s="122"/>
      <c r="AW255" s="122"/>
      <c r="AX255" s="122"/>
    </row>
    <row r="256" spans="2:50" ht="12.75" customHeight="1" x14ac:dyDescent="0.25">
      <c r="D256" s="281"/>
      <c r="E256" s="278"/>
      <c r="F256" s="278"/>
      <c r="G256" s="278"/>
      <c r="H256" s="278"/>
      <c r="K256" s="232"/>
      <c r="L256" s="123"/>
      <c r="M256" s="259"/>
      <c r="N256" s="123"/>
      <c r="O256" s="123"/>
      <c r="P256" s="123"/>
      <c r="Q256" s="123"/>
      <c r="AJ256" s="122"/>
      <c r="AW256" s="122"/>
      <c r="AX256" s="122"/>
    </row>
    <row r="257" spans="4:50" ht="12.75" customHeight="1" x14ac:dyDescent="0.25">
      <c r="D257" s="281"/>
      <c r="E257" s="278"/>
      <c r="F257" s="278"/>
      <c r="G257" s="278"/>
      <c r="H257" s="278"/>
      <c r="K257" s="232"/>
      <c r="L257" s="123"/>
      <c r="M257" s="259"/>
      <c r="N257" s="123"/>
      <c r="O257" s="123"/>
      <c r="P257" s="123"/>
      <c r="Q257" s="123"/>
      <c r="AJ257" s="122"/>
      <c r="AW257" s="122"/>
      <c r="AX257" s="122"/>
    </row>
    <row r="258" spans="4:50" ht="12.75" customHeight="1" x14ac:dyDescent="0.25">
      <c r="D258" s="281"/>
      <c r="E258" s="278"/>
      <c r="F258" s="278"/>
      <c r="G258" s="278"/>
      <c r="H258" s="278"/>
      <c r="K258" s="232"/>
      <c r="L258" s="123"/>
      <c r="M258" s="259"/>
      <c r="N258" s="123"/>
      <c r="O258" s="123"/>
      <c r="P258" s="123"/>
      <c r="Q258" s="123"/>
      <c r="AJ258" s="122"/>
      <c r="AW258" s="122"/>
      <c r="AX258" s="122"/>
    </row>
    <row r="259" spans="4:50" ht="12.75" customHeight="1" x14ac:dyDescent="0.25">
      <c r="D259" s="281"/>
      <c r="E259" s="278"/>
      <c r="F259" s="278"/>
      <c r="G259" s="278"/>
      <c r="H259" s="278"/>
      <c r="K259" s="123"/>
      <c r="L259" s="123"/>
      <c r="M259" s="259"/>
      <c r="N259" s="123"/>
      <c r="O259" s="123"/>
      <c r="P259" s="123"/>
      <c r="Q259" s="123"/>
      <c r="AJ259" s="122"/>
      <c r="AW259" s="122"/>
      <c r="AX259" s="122"/>
    </row>
    <row r="260" spans="4:50" ht="12.75" customHeight="1" x14ac:dyDescent="0.25">
      <c r="D260" s="281"/>
      <c r="E260" s="278"/>
      <c r="F260" s="278"/>
      <c r="G260" s="278"/>
      <c r="H260" s="278"/>
      <c r="K260" s="123"/>
      <c r="L260" s="123"/>
      <c r="M260" s="194"/>
      <c r="N260" s="123"/>
      <c r="O260" s="123"/>
      <c r="P260" s="123"/>
      <c r="Q260" s="123"/>
      <c r="AJ260" s="122"/>
      <c r="AW260" s="122"/>
      <c r="AX260" s="122"/>
    </row>
    <row r="261" spans="4:50" ht="12.75" customHeight="1" x14ac:dyDescent="0.25">
      <c r="D261" s="281"/>
      <c r="E261" s="278"/>
      <c r="F261" s="278"/>
      <c r="G261" s="278"/>
      <c r="H261" s="278"/>
      <c r="K261" s="123"/>
      <c r="L261" s="123"/>
      <c r="M261" s="194"/>
      <c r="N261" s="123"/>
      <c r="O261" s="123"/>
      <c r="P261" s="123"/>
      <c r="Q261" s="123"/>
      <c r="AJ261" s="122"/>
      <c r="AW261" s="122"/>
      <c r="AX261" s="122"/>
    </row>
    <row r="262" spans="4:50" ht="12.75" customHeight="1" x14ac:dyDescent="0.25">
      <c r="D262" s="281"/>
      <c r="E262" s="278"/>
      <c r="F262" s="278"/>
      <c r="G262" s="278"/>
      <c r="H262" s="278"/>
      <c r="K262" s="123"/>
      <c r="L262" s="123"/>
      <c r="M262" s="194"/>
      <c r="N262" s="123"/>
      <c r="O262" s="123"/>
      <c r="P262" s="123"/>
      <c r="Q262" s="123"/>
      <c r="AJ262" s="122"/>
      <c r="AW262" s="122"/>
      <c r="AX262" s="122"/>
    </row>
    <row r="263" spans="4:50" ht="12.75" customHeight="1" x14ac:dyDescent="0.25">
      <c r="D263" s="281"/>
      <c r="E263" s="278"/>
      <c r="F263" s="278"/>
      <c r="G263" s="278"/>
      <c r="H263" s="278"/>
      <c r="K263" s="1233"/>
      <c r="L263" s="1233"/>
      <c r="M263" s="1233"/>
      <c r="N263" s="123"/>
      <c r="O263" s="123"/>
      <c r="P263" s="1233"/>
      <c r="Q263" s="1233"/>
      <c r="AJ263" s="122"/>
      <c r="AW263" s="122"/>
      <c r="AX263" s="122"/>
    </row>
    <row r="264" spans="4:50" ht="12.75" customHeight="1" x14ac:dyDescent="0.25">
      <c r="D264" s="281"/>
      <c r="E264" s="278"/>
      <c r="F264" s="278"/>
      <c r="G264" s="278"/>
      <c r="H264" s="278"/>
      <c r="K264" s="123"/>
      <c r="L264" s="1232"/>
      <c r="M264" s="1232"/>
      <c r="N264" s="123"/>
      <c r="O264" s="123"/>
      <c r="P264" s="123"/>
      <c r="Q264" s="123"/>
      <c r="AJ264" s="122"/>
      <c r="AW264" s="122"/>
      <c r="AX264" s="122"/>
    </row>
    <row r="265" spans="4:50" ht="12.75" customHeight="1" x14ac:dyDescent="0.25">
      <c r="D265" s="281"/>
      <c r="E265" s="278"/>
      <c r="F265" s="278"/>
      <c r="G265" s="278"/>
      <c r="H265" s="278"/>
      <c r="K265" s="276"/>
      <c r="L265" s="113"/>
      <c r="M265" s="123"/>
      <c r="N265" s="123"/>
      <c r="O265" s="123"/>
      <c r="P265" s="123"/>
      <c r="Q265" s="123"/>
      <c r="AJ265" s="122"/>
      <c r="AW265" s="122"/>
      <c r="AX265" s="122"/>
    </row>
    <row r="266" spans="4:50" ht="12.75" customHeight="1" x14ac:dyDescent="0.25">
      <c r="D266" s="281"/>
      <c r="E266" s="278"/>
      <c r="F266" s="278"/>
      <c r="G266" s="278"/>
      <c r="H266" s="278"/>
      <c r="K266" s="254"/>
      <c r="L266" s="113"/>
      <c r="M266" s="123"/>
      <c r="N266" s="123"/>
      <c r="O266" s="123"/>
      <c r="P266" s="123"/>
      <c r="Q266" s="123"/>
      <c r="AJ266" s="122"/>
      <c r="AW266" s="122"/>
      <c r="AX266" s="122"/>
    </row>
    <row r="267" spans="4:50" ht="12.75" customHeight="1" x14ac:dyDescent="0.25">
      <c r="D267" s="281"/>
      <c r="E267" s="278"/>
      <c r="F267" s="278"/>
      <c r="G267" s="278"/>
      <c r="H267" s="278"/>
      <c r="K267" s="276"/>
      <c r="L267" s="280"/>
      <c r="AJ267" s="122"/>
      <c r="AW267" s="122"/>
      <c r="AX267" s="122"/>
    </row>
    <row r="268" spans="4:50" ht="12.75" customHeight="1" x14ac:dyDescent="0.25">
      <c r="D268" s="281"/>
      <c r="E268" s="278"/>
      <c r="F268" s="278"/>
      <c r="G268" s="278"/>
      <c r="H268" s="278"/>
      <c r="K268" s="282"/>
      <c r="L268" s="280"/>
      <c r="AJ268" s="122"/>
      <c r="AW268" s="122"/>
      <c r="AX268" s="122"/>
    </row>
    <row r="269" spans="4:50" ht="12.75" customHeight="1" x14ac:dyDescent="0.25">
      <c r="D269" s="281"/>
      <c r="E269" s="278"/>
      <c r="F269" s="278"/>
      <c r="G269" s="278"/>
      <c r="H269" s="278"/>
      <c r="K269" s="176"/>
      <c r="L269" s="122"/>
      <c r="AJ269" s="122"/>
      <c r="AW269" s="122"/>
      <c r="AX269" s="122"/>
    </row>
    <row r="270" spans="4:50" ht="12.75" customHeight="1" x14ac:dyDescent="0.25">
      <c r="D270" s="281"/>
      <c r="E270" s="278"/>
      <c r="F270" s="278"/>
      <c r="G270" s="278"/>
      <c r="H270" s="278"/>
      <c r="K270" s="176"/>
      <c r="L270" s="122"/>
      <c r="AJ270" s="122"/>
      <c r="AW270" s="122"/>
      <c r="AX270" s="122"/>
    </row>
    <row r="271" spans="4:50" ht="12.75" customHeight="1" x14ac:dyDescent="0.25">
      <c r="D271" s="281"/>
      <c r="E271" s="278"/>
      <c r="F271" s="278"/>
      <c r="G271" s="278"/>
      <c r="H271" s="278"/>
      <c r="K271" s="176"/>
      <c r="L271" s="122"/>
      <c r="AJ271" s="122"/>
      <c r="AW271" s="122"/>
      <c r="AX271" s="122"/>
    </row>
    <row r="272" spans="4:50" ht="12.75" customHeight="1" x14ac:dyDescent="0.25">
      <c r="D272" s="281"/>
      <c r="E272" s="278"/>
      <c r="F272" s="278"/>
      <c r="G272" s="278"/>
      <c r="H272" s="278"/>
      <c r="K272" s="176"/>
      <c r="L272" s="122"/>
      <c r="AJ272" s="122"/>
      <c r="AW272" s="122"/>
      <c r="AX272" s="122"/>
    </row>
    <row r="273" spans="4:50" ht="12.75" customHeight="1" x14ac:dyDescent="0.25">
      <c r="D273" s="281"/>
      <c r="E273" s="278"/>
      <c r="F273" s="278"/>
      <c r="G273" s="278"/>
      <c r="H273" s="278"/>
      <c r="K273" s="176"/>
      <c r="L273" s="122"/>
      <c r="AJ273" s="122"/>
      <c r="AW273" s="122"/>
      <c r="AX273" s="122"/>
    </row>
    <row r="274" spans="4:50" ht="12.75" customHeight="1" x14ac:dyDescent="0.25">
      <c r="D274" s="281"/>
      <c r="E274" s="278"/>
      <c r="F274" s="278"/>
      <c r="G274" s="278"/>
      <c r="H274" s="278"/>
      <c r="K274" s="176"/>
      <c r="L274" s="122"/>
      <c r="AJ274" s="122"/>
      <c r="AW274" s="122"/>
      <c r="AX274" s="122"/>
    </row>
    <row r="275" spans="4:50" ht="12.75" customHeight="1" x14ac:dyDescent="0.25">
      <c r="D275" s="281"/>
      <c r="E275" s="278"/>
      <c r="F275" s="278"/>
      <c r="G275" s="278"/>
      <c r="H275" s="278"/>
      <c r="K275" s="176"/>
      <c r="L275" s="122"/>
      <c r="AJ275" s="122"/>
      <c r="AW275" s="122"/>
      <c r="AX275" s="122"/>
    </row>
    <row r="276" spans="4:50" ht="12.75" customHeight="1" x14ac:dyDescent="0.25">
      <c r="D276" s="281"/>
      <c r="E276" s="278"/>
      <c r="F276" s="278"/>
      <c r="G276" s="278"/>
      <c r="H276" s="278"/>
      <c r="K276" s="176"/>
      <c r="L276" s="122"/>
      <c r="AJ276" s="122"/>
      <c r="AW276" s="122"/>
      <c r="AX276" s="122"/>
    </row>
    <row r="277" spans="4:50" ht="12.75" customHeight="1" x14ac:dyDescent="0.25">
      <c r="D277" s="281"/>
      <c r="E277" s="278"/>
      <c r="F277" s="278"/>
      <c r="G277" s="278"/>
      <c r="H277" s="278"/>
      <c r="K277" s="176"/>
      <c r="L277" s="122"/>
      <c r="AJ277" s="122"/>
      <c r="AW277" s="122"/>
      <c r="AX277" s="122"/>
    </row>
    <row r="278" spans="4:50" ht="12.75" customHeight="1" x14ac:dyDescent="0.25">
      <c r="D278" s="281"/>
      <c r="E278" s="278"/>
      <c r="F278" s="278"/>
      <c r="G278" s="278"/>
      <c r="H278" s="278"/>
      <c r="K278" s="176"/>
      <c r="L278" s="122"/>
      <c r="AJ278" s="122"/>
      <c r="AW278" s="122"/>
      <c r="AX278" s="122"/>
    </row>
    <row r="279" spans="4:50" ht="12.75" customHeight="1" x14ac:dyDescent="0.25">
      <c r="D279" s="281"/>
      <c r="E279" s="278"/>
      <c r="F279" s="278"/>
      <c r="G279" s="278"/>
      <c r="H279" s="278"/>
      <c r="K279" s="176"/>
      <c r="L279" s="122"/>
      <c r="AJ279" s="122"/>
      <c r="AW279" s="122"/>
      <c r="AX279" s="122"/>
    </row>
    <row r="280" spans="4:50" ht="12.75" customHeight="1" x14ac:dyDescent="0.25">
      <c r="D280" s="281"/>
      <c r="E280" s="278"/>
      <c r="F280" s="278"/>
      <c r="G280" s="278"/>
      <c r="H280" s="278"/>
      <c r="K280" s="176"/>
      <c r="L280" s="122"/>
      <c r="AJ280" s="122"/>
      <c r="AW280" s="122"/>
      <c r="AX280" s="122"/>
    </row>
    <row r="281" spans="4:50" ht="12.75" customHeight="1" x14ac:dyDescent="0.25">
      <c r="D281" s="281"/>
      <c r="E281" s="278"/>
      <c r="F281" s="278"/>
      <c r="G281" s="278"/>
      <c r="H281" s="278"/>
      <c r="AJ281" s="122"/>
      <c r="AW281" s="122"/>
      <c r="AX281" s="122"/>
    </row>
    <row r="282" spans="4:50" ht="12.75" customHeight="1" x14ac:dyDescent="0.25">
      <c r="D282" s="281"/>
      <c r="E282" s="278"/>
      <c r="F282" s="278"/>
      <c r="G282" s="278"/>
      <c r="H282" s="278"/>
      <c r="AJ282" s="122"/>
      <c r="AW282" s="122"/>
      <c r="AX282" s="122"/>
    </row>
    <row r="283" spans="4:50" ht="12.75" customHeight="1" x14ac:dyDescent="0.25">
      <c r="D283" s="281"/>
      <c r="E283" s="278"/>
      <c r="F283" s="278"/>
      <c r="G283" s="278"/>
      <c r="H283" s="278"/>
      <c r="AJ283" s="122"/>
      <c r="AW283" s="122"/>
      <c r="AX283" s="122"/>
    </row>
    <row r="284" spans="4:50" ht="12.75" customHeight="1" x14ac:dyDescent="0.25">
      <c r="D284" s="281"/>
      <c r="E284" s="278"/>
      <c r="F284" s="278"/>
      <c r="G284" s="278"/>
      <c r="H284" s="278"/>
      <c r="AJ284" s="122"/>
      <c r="AW284" s="122"/>
      <c r="AX284" s="122"/>
    </row>
    <row r="285" spans="4:50" ht="12.75" customHeight="1" x14ac:dyDescent="0.25">
      <c r="D285" s="281"/>
      <c r="E285" s="278"/>
      <c r="F285" s="278"/>
      <c r="G285" s="278"/>
      <c r="H285" s="278"/>
      <c r="AJ285" s="122"/>
      <c r="AW285" s="122"/>
      <c r="AX285" s="122"/>
    </row>
    <row r="286" spans="4:50" ht="12.75" customHeight="1" x14ac:dyDescent="0.25">
      <c r="D286" s="281"/>
      <c r="E286" s="278"/>
      <c r="F286" s="278"/>
      <c r="G286" s="278"/>
      <c r="H286" s="278"/>
      <c r="AJ286" s="122"/>
      <c r="AW286" s="122"/>
      <c r="AX286" s="122"/>
    </row>
    <row r="287" spans="4:50" ht="12.75" customHeight="1" x14ac:dyDescent="0.25">
      <c r="D287" s="281"/>
      <c r="E287" s="278"/>
      <c r="F287" s="278"/>
      <c r="G287" s="278"/>
      <c r="H287" s="278"/>
      <c r="AJ287" s="122"/>
      <c r="AW287" s="122"/>
      <c r="AX287" s="122"/>
    </row>
    <row r="288" spans="4:50" ht="12.75" customHeight="1" x14ac:dyDescent="0.25">
      <c r="D288" s="281"/>
      <c r="E288" s="278"/>
      <c r="F288" s="278"/>
      <c r="G288" s="278"/>
      <c r="H288" s="278"/>
      <c r="AJ288" s="122"/>
      <c r="AW288" s="122"/>
      <c r="AX288" s="122"/>
    </row>
    <row r="289" spans="4:50" ht="12.75" customHeight="1" x14ac:dyDescent="0.25">
      <c r="D289" s="281"/>
      <c r="E289" s="278"/>
      <c r="F289" s="278"/>
      <c r="G289" s="278"/>
      <c r="H289" s="278"/>
      <c r="AJ289" s="122"/>
      <c r="AW289" s="122"/>
      <c r="AX289" s="122"/>
    </row>
    <row r="290" spans="4:50" ht="12.75" customHeight="1" x14ac:dyDescent="0.25">
      <c r="D290" s="281"/>
      <c r="E290" s="278"/>
      <c r="F290" s="278"/>
      <c r="G290" s="278"/>
      <c r="H290" s="278"/>
      <c r="AJ290" s="122"/>
      <c r="AW290" s="122"/>
      <c r="AX290" s="122"/>
    </row>
    <row r="291" spans="4:50" ht="12.75" customHeight="1" x14ac:dyDescent="0.25">
      <c r="D291" s="281"/>
      <c r="E291" s="278"/>
      <c r="F291" s="278"/>
      <c r="G291" s="278"/>
      <c r="H291" s="278"/>
      <c r="AJ291" s="122"/>
      <c r="AW291" s="122"/>
      <c r="AX291" s="122"/>
    </row>
    <row r="292" spans="4:50" ht="12.75" customHeight="1" x14ac:dyDescent="0.25">
      <c r="D292" s="281"/>
      <c r="E292" s="278"/>
      <c r="F292" s="278"/>
      <c r="G292" s="278"/>
      <c r="H292" s="278"/>
      <c r="AJ292" s="122"/>
      <c r="AW292" s="122"/>
      <c r="AX292" s="122"/>
    </row>
    <row r="293" spans="4:50" ht="12.75" customHeight="1" x14ac:dyDescent="0.25">
      <c r="D293" s="281"/>
      <c r="E293" s="278"/>
      <c r="F293" s="278"/>
      <c r="G293" s="278"/>
      <c r="H293" s="278"/>
      <c r="AJ293" s="122"/>
      <c r="AW293" s="122"/>
      <c r="AX293" s="122"/>
    </row>
    <row r="294" spans="4:50" ht="12.75" customHeight="1" x14ac:dyDescent="0.25">
      <c r="D294" s="281"/>
      <c r="E294" s="278"/>
      <c r="F294" s="278"/>
      <c r="G294" s="278"/>
      <c r="H294" s="278"/>
      <c r="AJ294" s="122"/>
      <c r="AW294" s="122"/>
      <c r="AX294" s="122"/>
    </row>
    <row r="295" spans="4:50" ht="12.75" customHeight="1" x14ac:dyDescent="0.25">
      <c r="D295" s="281"/>
      <c r="E295" s="278"/>
      <c r="F295" s="278"/>
      <c r="G295" s="278"/>
      <c r="H295" s="278"/>
      <c r="AJ295" s="122"/>
      <c r="AW295" s="122"/>
      <c r="AX295" s="122"/>
    </row>
    <row r="296" spans="4:50" ht="12.75" customHeight="1" x14ac:dyDescent="0.25">
      <c r="D296" s="281"/>
      <c r="E296" s="278"/>
      <c r="F296" s="278"/>
      <c r="G296" s="278"/>
      <c r="H296" s="278"/>
      <c r="AJ296" s="122"/>
      <c r="AW296" s="122"/>
      <c r="AX296" s="122"/>
    </row>
    <row r="297" spans="4:50" ht="12.75" customHeight="1" x14ac:dyDescent="0.25">
      <c r="D297" s="281"/>
      <c r="E297" s="278"/>
      <c r="F297" s="278"/>
      <c r="G297" s="278"/>
      <c r="H297" s="278"/>
      <c r="AJ297" s="122"/>
      <c r="AW297" s="122"/>
      <c r="AX297" s="122"/>
    </row>
    <row r="298" spans="4:50" ht="12.75" customHeight="1" x14ac:dyDescent="0.25">
      <c r="D298" s="281"/>
      <c r="E298" s="278"/>
      <c r="F298" s="278"/>
      <c r="G298" s="278"/>
      <c r="H298" s="278"/>
      <c r="AJ298" s="122"/>
      <c r="AW298" s="122"/>
      <c r="AX298" s="122"/>
    </row>
    <row r="299" spans="4:50" ht="12.75" customHeight="1" x14ac:dyDescent="0.25">
      <c r="D299" s="281"/>
      <c r="E299" s="278"/>
      <c r="F299" s="278"/>
      <c r="G299" s="278"/>
      <c r="H299" s="278"/>
      <c r="AJ299" s="122"/>
      <c r="AW299" s="122"/>
      <c r="AX299" s="122"/>
    </row>
    <row r="300" spans="4:50" ht="12.75" customHeight="1" x14ac:dyDescent="0.25">
      <c r="D300" s="281"/>
      <c r="E300" s="278"/>
      <c r="F300" s="278"/>
      <c r="G300" s="278"/>
      <c r="H300" s="278"/>
      <c r="AJ300" s="122"/>
      <c r="AW300" s="122"/>
      <c r="AX300" s="122"/>
    </row>
    <row r="301" spans="4:50" ht="12.75" customHeight="1" x14ac:dyDescent="0.25">
      <c r="D301" s="281"/>
      <c r="E301" s="278"/>
      <c r="F301" s="278"/>
      <c r="G301" s="278"/>
      <c r="H301" s="278"/>
      <c r="AJ301" s="122"/>
      <c r="AW301" s="122"/>
      <c r="AX301" s="122"/>
    </row>
    <row r="302" spans="4:50" ht="12.75" customHeight="1" x14ac:dyDescent="0.25">
      <c r="D302" s="281"/>
      <c r="E302" s="278"/>
      <c r="F302" s="278"/>
      <c r="G302" s="278"/>
      <c r="H302" s="278"/>
      <c r="AJ302" s="122"/>
      <c r="AW302" s="122"/>
      <c r="AX302" s="122"/>
    </row>
    <row r="303" spans="4:50" ht="12.75" customHeight="1" x14ac:dyDescent="0.25">
      <c r="D303" s="281"/>
      <c r="E303" s="278"/>
      <c r="F303" s="278"/>
      <c r="G303" s="278"/>
      <c r="H303" s="278"/>
      <c r="AJ303" s="122"/>
      <c r="AW303" s="122"/>
      <c r="AX303" s="122"/>
    </row>
    <row r="304" spans="4:50" ht="12.75" customHeight="1" x14ac:dyDescent="0.25">
      <c r="D304" s="281"/>
      <c r="E304" s="278"/>
      <c r="F304" s="278"/>
      <c r="G304" s="278"/>
      <c r="H304" s="278"/>
      <c r="AJ304" s="122"/>
      <c r="AW304" s="122"/>
      <c r="AX304" s="122"/>
    </row>
    <row r="305" spans="4:50" ht="12.75" customHeight="1" x14ac:dyDescent="0.25">
      <c r="D305" s="281"/>
      <c r="E305" s="278"/>
      <c r="F305" s="278"/>
      <c r="G305" s="278"/>
      <c r="H305" s="278"/>
      <c r="AJ305" s="122"/>
      <c r="AW305" s="122"/>
      <c r="AX305" s="122"/>
    </row>
    <row r="306" spans="4:50" ht="12.75" customHeight="1" x14ac:dyDescent="0.25">
      <c r="D306" s="281"/>
      <c r="E306" s="278"/>
      <c r="F306" s="278"/>
      <c r="G306" s="278"/>
      <c r="H306" s="278"/>
      <c r="AJ306" s="122"/>
      <c r="AW306" s="122"/>
      <c r="AX306" s="122"/>
    </row>
    <row r="307" spans="4:50" ht="12.75" customHeight="1" x14ac:dyDescent="0.25">
      <c r="D307" s="281"/>
      <c r="E307" s="278"/>
      <c r="F307" s="278"/>
      <c r="G307" s="278"/>
      <c r="H307" s="278"/>
      <c r="AJ307" s="122"/>
      <c r="AW307" s="122"/>
      <c r="AX307" s="122"/>
    </row>
    <row r="308" spans="4:50" ht="12.75" customHeight="1" x14ac:dyDescent="0.25">
      <c r="D308" s="281"/>
      <c r="E308" s="278"/>
      <c r="F308" s="278"/>
      <c r="G308" s="278"/>
      <c r="H308" s="278"/>
      <c r="AJ308" s="122"/>
      <c r="AW308" s="122"/>
      <c r="AX308" s="122"/>
    </row>
    <row r="309" spans="4:50" ht="12.75" customHeight="1" x14ac:dyDescent="0.25">
      <c r="D309" s="281"/>
      <c r="E309" s="278"/>
      <c r="F309" s="278"/>
      <c r="G309" s="278"/>
      <c r="H309" s="278"/>
      <c r="AJ309" s="122"/>
      <c r="AW309" s="122"/>
      <c r="AX309" s="122"/>
    </row>
    <row r="310" spans="4:50" ht="12.75" customHeight="1" x14ac:dyDescent="0.25">
      <c r="D310" s="281"/>
      <c r="E310" s="278"/>
      <c r="F310" s="278"/>
      <c r="G310" s="278"/>
      <c r="H310" s="278"/>
      <c r="AJ310" s="122"/>
      <c r="AW310" s="122"/>
      <c r="AX310" s="122"/>
    </row>
    <row r="311" spans="4:50" ht="12.75" customHeight="1" x14ac:dyDescent="0.25">
      <c r="D311" s="281"/>
      <c r="E311" s="278"/>
      <c r="F311" s="278"/>
      <c r="G311" s="278"/>
      <c r="H311" s="278"/>
      <c r="AJ311" s="122"/>
      <c r="AW311" s="122"/>
      <c r="AX311" s="122"/>
    </row>
    <row r="312" spans="4:50" ht="12.75" customHeight="1" x14ac:dyDescent="0.25">
      <c r="D312" s="281"/>
      <c r="E312" s="278"/>
      <c r="F312" s="278"/>
      <c r="G312" s="278"/>
      <c r="H312" s="278"/>
      <c r="AJ312" s="122"/>
      <c r="AW312" s="122"/>
      <c r="AX312" s="122"/>
    </row>
    <row r="313" spans="4:50" ht="12.75" customHeight="1" x14ac:dyDescent="0.25">
      <c r="D313" s="281"/>
      <c r="E313" s="278"/>
      <c r="F313" s="278"/>
      <c r="G313" s="278"/>
      <c r="H313" s="278"/>
      <c r="AJ313" s="122"/>
      <c r="AW313" s="122"/>
      <c r="AX313" s="122"/>
    </row>
    <row r="314" spans="4:50" ht="12.75" customHeight="1" x14ac:dyDescent="0.25">
      <c r="D314" s="281"/>
      <c r="E314" s="278"/>
      <c r="F314" s="278"/>
      <c r="G314" s="278"/>
      <c r="H314" s="278"/>
      <c r="AJ314" s="122"/>
      <c r="AW314" s="122"/>
      <c r="AX314" s="122"/>
    </row>
    <row r="315" spans="4:50" ht="12.75" customHeight="1" x14ac:dyDescent="0.25">
      <c r="D315" s="281"/>
      <c r="E315" s="278"/>
      <c r="F315" s="278"/>
      <c r="G315" s="278"/>
      <c r="H315" s="278"/>
      <c r="AJ315" s="122"/>
      <c r="AW315" s="122"/>
      <c r="AX315" s="122"/>
    </row>
    <row r="316" spans="4:50" ht="12.75" customHeight="1" x14ac:dyDescent="0.25">
      <c r="D316" s="281"/>
      <c r="E316" s="278"/>
      <c r="F316" s="278"/>
      <c r="G316" s="278"/>
      <c r="H316" s="278"/>
      <c r="AJ316" s="122"/>
      <c r="AW316" s="122"/>
      <c r="AX316" s="122"/>
    </row>
    <row r="317" spans="4:50" ht="12.75" customHeight="1" x14ac:dyDescent="0.25">
      <c r="D317" s="281"/>
      <c r="E317" s="278"/>
      <c r="F317" s="278"/>
      <c r="G317" s="278"/>
      <c r="H317" s="278"/>
      <c r="AJ317" s="122"/>
      <c r="AW317" s="122"/>
      <c r="AX317" s="122"/>
    </row>
    <row r="318" spans="4:50" ht="12.75" customHeight="1" x14ac:dyDescent="0.25">
      <c r="D318" s="281"/>
      <c r="E318" s="278"/>
      <c r="F318" s="278"/>
      <c r="G318" s="278"/>
      <c r="H318" s="278"/>
      <c r="AJ318" s="122"/>
      <c r="AW318" s="122"/>
      <c r="AX318" s="122"/>
    </row>
    <row r="319" spans="4:50" ht="12.75" customHeight="1" x14ac:dyDescent="0.25">
      <c r="D319" s="281"/>
      <c r="E319" s="278"/>
      <c r="F319" s="278"/>
      <c r="G319" s="278"/>
      <c r="H319" s="278"/>
      <c r="AJ319" s="122"/>
      <c r="AW319" s="122"/>
      <c r="AX319" s="122"/>
    </row>
    <row r="320" spans="4:50" ht="12.75" customHeight="1" x14ac:dyDescent="0.25">
      <c r="D320" s="281"/>
      <c r="E320" s="278"/>
      <c r="F320" s="278"/>
      <c r="G320" s="278"/>
      <c r="H320" s="278"/>
      <c r="AJ320" s="122"/>
      <c r="AW320" s="122"/>
      <c r="AX320" s="122"/>
    </row>
    <row r="321" spans="4:50" ht="12.75" customHeight="1" x14ac:dyDescent="0.25">
      <c r="D321" s="281"/>
      <c r="E321" s="278"/>
      <c r="F321" s="278"/>
      <c r="G321" s="278"/>
      <c r="H321" s="278"/>
      <c r="AJ321" s="122"/>
      <c r="AW321" s="122"/>
      <c r="AX321" s="122"/>
    </row>
    <row r="322" spans="4:50" ht="12.75" customHeight="1" x14ac:dyDescent="0.25">
      <c r="D322" s="281"/>
      <c r="E322" s="278"/>
      <c r="F322" s="278"/>
      <c r="G322" s="278"/>
      <c r="H322" s="278"/>
      <c r="AJ322" s="122"/>
      <c r="AW322" s="122"/>
      <c r="AX322" s="122"/>
    </row>
    <row r="323" spans="4:50" ht="12.75" customHeight="1" x14ac:dyDescent="0.25">
      <c r="D323" s="281"/>
      <c r="E323" s="278"/>
      <c r="F323" s="278"/>
      <c r="G323" s="278"/>
      <c r="H323" s="278"/>
      <c r="AJ323" s="122"/>
      <c r="AW323" s="122"/>
      <c r="AX323" s="122"/>
    </row>
    <row r="324" spans="4:50" ht="12.75" customHeight="1" x14ac:dyDescent="0.25">
      <c r="D324" s="281"/>
      <c r="E324" s="278"/>
      <c r="F324" s="278"/>
      <c r="G324" s="278"/>
      <c r="H324" s="278"/>
      <c r="AJ324" s="122"/>
      <c r="AW324" s="122"/>
      <c r="AX324" s="122"/>
    </row>
    <row r="325" spans="4:50" ht="12.75" customHeight="1" x14ac:dyDescent="0.25">
      <c r="D325" s="281"/>
      <c r="E325" s="278"/>
      <c r="F325" s="278"/>
      <c r="G325" s="278"/>
      <c r="H325" s="278"/>
      <c r="AJ325" s="122"/>
      <c r="AW325" s="122"/>
      <c r="AX325" s="122"/>
    </row>
    <row r="326" spans="4:50" ht="12.75" customHeight="1" x14ac:dyDescent="0.25">
      <c r="D326" s="281"/>
      <c r="E326" s="278"/>
      <c r="F326" s="278"/>
      <c r="G326" s="278"/>
      <c r="H326" s="278"/>
      <c r="AJ326" s="122"/>
      <c r="AW326" s="122"/>
      <c r="AX326" s="122"/>
    </row>
    <row r="327" spans="4:50" ht="12.75" customHeight="1" x14ac:dyDescent="0.25">
      <c r="D327" s="281"/>
      <c r="E327" s="278"/>
      <c r="F327" s="278"/>
      <c r="G327" s="278"/>
      <c r="H327" s="278"/>
      <c r="AJ327" s="122"/>
      <c r="AW327" s="122"/>
      <c r="AX327" s="122"/>
    </row>
    <row r="328" spans="4:50" ht="12.75" customHeight="1" x14ac:dyDescent="0.25">
      <c r="D328" s="281"/>
      <c r="E328" s="278"/>
      <c r="F328" s="278"/>
      <c r="G328" s="278"/>
      <c r="H328" s="278"/>
      <c r="AJ328" s="122"/>
      <c r="AW328" s="122"/>
      <c r="AX328" s="122"/>
    </row>
    <row r="329" spans="4:50" ht="12.75" customHeight="1" x14ac:dyDescent="0.25">
      <c r="D329" s="281"/>
      <c r="E329" s="278"/>
      <c r="F329" s="278"/>
      <c r="G329" s="278"/>
      <c r="H329" s="278"/>
      <c r="AJ329" s="122"/>
      <c r="AW329" s="122"/>
      <c r="AX329" s="122"/>
    </row>
    <row r="330" spans="4:50" ht="12.75" customHeight="1" x14ac:dyDescent="0.25">
      <c r="D330" s="281"/>
      <c r="E330" s="278"/>
      <c r="F330" s="278"/>
      <c r="G330" s="278"/>
      <c r="H330" s="278"/>
      <c r="AJ330" s="122"/>
      <c r="AW330" s="122"/>
      <c r="AX330" s="122"/>
    </row>
    <row r="331" spans="4:50" ht="12.75" customHeight="1" x14ac:dyDescent="0.25">
      <c r="D331" s="281"/>
      <c r="E331" s="278"/>
      <c r="F331" s="278"/>
      <c r="G331" s="278"/>
      <c r="H331" s="278"/>
      <c r="AJ331" s="122"/>
      <c r="AW331" s="122"/>
      <c r="AX331" s="122"/>
    </row>
    <row r="332" spans="4:50" ht="12.75" customHeight="1" x14ac:dyDescent="0.25">
      <c r="D332" s="281"/>
      <c r="E332" s="278"/>
      <c r="F332" s="278"/>
      <c r="G332" s="278"/>
      <c r="H332" s="278"/>
      <c r="AJ332" s="122"/>
      <c r="AW332" s="122"/>
      <c r="AX332" s="122"/>
    </row>
    <row r="333" spans="4:50" ht="12.75" customHeight="1" x14ac:dyDescent="0.25">
      <c r="D333" s="281"/>
      <c r="E333" s="278"/>
      <c r="F333" s="278"/>
      <c r="G333" s="278"/>
      <c r="H333" s="278"/>
      <c r="AJ333" s="122"/>
      <c r="AW333" s="122"/>
      <c r="AX333" s="122"/>
    </row>
    <row r="334" spans="4:50" ht="12.75" customHeight="1" x14ac:dyDescent="0.25">
      <c r="D334" s="281"/>
      <c r="E334" s="278"/>
      <c r="F334" s="278"/>
      <c r="G334" s="278"/>
      <c r="H334" s="278"/>
      <c r="AJ334" s="122"/>
      <c r="AW334" s="122"/>
      <c r="AX334" s="122"/>
    </row>
    <row r="335" spans="4:50" ht="12.75" customHeight="1" x14ac:dyDescent="0.25">
      <c r="D335" s="281"/>
      <c r="E335" s="278"/>
      <c r="F335" s="278"/>
      <c r="G335" s="278"/>
      <c r="H335" s="278"/>
      <c r="AJ335" s="122"/>
      <c r="AW335" s="122"/>
      <c r="AX335" s="122"/>
    </row>
    <row r="336" spans="4:50" ht="12.75" customHeight="1" x14ac:dyDescent="0.25">
      <c r="D336" s="281"/>
      <c r="E336" s="278"/>
      <c r="F336" s="278"/>
      <c r="G336" s="278"/>
      <c r="H336" s="278"/>
      <c r="AJ336" s="122"/>
      <c r="AW336" s="122"/>
      <c r="AX336" s="122"/>
    </row>
    <row r="337" spans="4:50" ht="12.75" customHeight="1" x14ac:dyDescent="0.25">
      <c r="D337" s="281"/>
      <c r="E337" s="278"/>
      <c r="F337" s="278"/>
      <c r="G337" s="278"/>
      <c r="H337" s="278"/>
      <c r="AJ337" s="122"/>
      <c r="AW337" s="122"/>
      <c r="AX337" s="122"/>
    </row>
    <row r="338" spans="4:50" ht="12.75" customHeight="1" x14ac:dyDescent="0.25">
      <c r="D338" s="281"/>
      <c r="E338" s="278"/>
      <c r="F338" s="278"/>
      <c r="G338" s="278"/>
      <c r="H338" s="278"/>
      <c r="AJ338" s="122"/>
      <c r="AW338" s="122"/>
      <c r="AX338" s="122"/>
    </row>
    <row r="339" spans="4:50" ht="12.75" customHeight="1" x14ac:dyDescent="0.25">
      <c r="D339" s="281"/>
      <c r="E339" s="278"/>
      <c r="F339" s="278"/>
      <c r="G339" s="278"/>
      <c r="H339" s="278"/>
      <c r="AJ339" s="122"/>
      <c r="AW339" s="122"/>
      <c r="AX339" s="122"/>
    </row>
    <row r="340" spans="4:50" ht="12.75" customHeight="1" x14ac:dyDescent="0.25">
      <c r="D340" s="281"/>
      <c r="E340" s="278"/>
      <c r="F340" s="278"/>
      <c r="G340" s="278"/>
      <c r="H340" s="278"/>
      <c r="AJ340" s="122"/>
      <c r="AW340" s="122"/>
      <c r="AX340" s="122"/>
    </row>
    <row r="341" spans="4:50" ht="12.75" customHeight="1" x14ac:dyDescent="0.25">
      <c r="D341" s="281"/>
      <c r="E341" s="278"/>
      <c r="F341" s="278"/>
      <c r="G341" s="278"/>
      <c r="H341" s="278"/>
      <c r="AJ341" s="122"/>
      <c r="AW341" s="122"/>
      <c r="AX341" s="122"/>
    </row>
    <row r="342" spans="4:50" ht="12.75" customHeight="1" x14ac:dyDescent="0.25">
      <c r="D342" s="281"/>
      <c r="E342" s="278"/>
      <c r="F342" s="278"/>
      <c r="G342" s="278"/>
      <c r="H342" s="278"/>
      <c r="AJ342" s="122"/>
      <c r="AW342" s="122"/>
      <c r="AX342" s="122"/>
    </row>
    <row r="343" spans="4:50" ht="12.75" customHeight="1" x14ac:dyDescent="0.25">
      <c r="D343" s="281"/>
      <c r="E343" s="278"/>
      <c r="F343" s="278"/>
      <c r="G343" s="278"/>
      <c r="H343" s="278"/>
      <c r="AJ343" s="122"/>
      <c r="AW343" s="122"/>
      <c r="AX343" s="122"/>
    </row>
    <row r="344" spans="4:50" ht="12.75" customHeight="1" x14ac:dyDescent="0.25">
      <c r="D344" s="281"/>
      <c r="E344" s="278"/>
      <c r="F344" s="278"/>
      <c r="G344" s="278"/>
      <c r="H344" s="278"/>
      <c r="AJ344" s="122"/>
      <c r="AW344" s="122"/>
      <c r="AX344" s="122"/>
    </row>
    <row r="345" spans="4:50" ht="12.75" customHeight="1" x14ac:dyDescent="0.25">
      <c r="D345" s="281"/>
      <c r="E345" s="278"/>
      <c r="F345" s="278"/>
      <c r="G345" s="278"/>
      <c r="H345" s="278"/>
      <c r="AJ345" s="122"/>
      <c r="AW345" s="122"/>
      <c r="AX345" s="122"/>
    </row>
    <row r="346" spans="4:50" ht="12.75" customHeight="1" x14ac:dyDescent="0.25">
      <c r="D346" s="281"/>
      <c r="E346" s="278"/>
      <c r="F346" s="278"/>
      <c r="G346" s="278"/>
      <c r="H346" s="278"/>
      <c r="AJ346" s="122"/>
      <c r="AW346" s="122"/>
      <c r="AX346" s="122"/>
    </row>
    <row r="347" spans="4:50" ht="12.75" customHeight="1" x14ac:dyDescent="0.25">
      <c r="D347" s="281"/>
      <c r="E347" s="278"/>
      <c r="F347" s="278"/>
      <c r="G347" s="278"/>
      <c r="H347" s="278"/>
      <c r="AJ347" s="122"/>
      <c r="AW347" s="122"/>
      <c r="AX347" s="122"/>
    </row>
    <row r="348" spans="4:50" ht="12.75" customHeight="1" x14ac:dyDescent="0.25">
      <c r="D348" s="281"/>
      <c r="E348" s="278"/>
      <c r="F348" s="278"/>
      <c r="G348" s="278"/>
      <c r="H348" s="278"/>
      <c r="AJ348" s="122"/>
      <c r="AW348" s="122"/>
      <c r="AX348" s="122"/>
    </row>
    <row r="349" spans="4:50" ht="12.75" customHeight="1" x14ac:dyDescent="0.25">
      <c r="D349" s="281"/>
      <c r="E349" s="278"/>
      <c r="F349" s="278"/>
      <c r="G349" s="278"/>
      <c r="H349" s="278"/>
      <c r="AJ349" s="122"/>
      <c r="AW349" s="122"/>
      <c r="AX349" s="122"/>
    </row>
    <row r="350" spans="4:50" ht="12.75" customHeight="1" x14ac:dyDescent="0.25">
      <c r="D350" s="281"/>
      <c r="E350" s="278"/>
      <c r="F350" s="278"/>
      <c r="G350" s="278"/>
      <c r="H350" s="278"/>
      <c r="AJ350" s="122"/>
      <c r="AW350" s="122"/>
      <c r="AX350" s="122"/>
    </row>
    <row r="351" spans="4:50" ht="12.75" customHeight="1" x14ac:dyDescent="0.25">
      <c r="D351" s="281"/>
      <c r="E351" s="278"/>
      <c r="F351" s="278"/>
      <c r="G351" s="278"/>
      <c r="H351" s="278"/>
      <c r="AJ351" s="122"/>
      <c r="AW351" s="122"/>
      <c r="AX351" s="122"/>
    </row>
    <row r="352" spans="4:50" ht="12.75" customHeight="1" x14ac:dyDescent="0.25">
      <c r="D352" s="281"/>
      <c r="E352" s="278"/>
      <c r="F352" s="278"/>
      <c r="G352" s="278"/>
      <c r="H352" s="278"/>
      <c r="AJ352" s="122"/>
      <c r="AW352" s="122"/>
      <c r="AX352" s="122"/>
    </row>
    <row r="353" spans="4:50" ht="12.75" customHeight="1" x14ac:dyDescent="0.25">
      <c r="D353" s="281"/>
      <c r="E353" s="278"/>
      <c r="F353" s="278"/>
      <c r="G353" s="278"/>
      <c r="H353" s="278"/>
      <c r="AJ353" s="122"/>
      <c r="AW353" s="122"/>
      <c r="AX353" s="122"/>
    </row>
    <row r="354" spans="4:50" ht="12.75" customHeight="1" x14ac:dyDescent="0.25">
      <c r="D354" s="281"/>
      <c r="E354" s="278"/>
      <c r="F354" s="278"/>
      <c r="G354" s="278"/>
      <c r="H354" s="278"/>
      <c r="AJ354" s="122"/>
      <c r="AW354" s="122"/>
      <c r="AX354" s="122"/>
    </row>
    <row r="355" spans="4:50" ht="12.75" customHeight="1" x14ac:dyDescent="0.25">
      <c r="D355" s="281"/>
      <c r="E355" s="278"/>
      <c r="F355" s="278"/>
      <c r="G355" s="278"/>
      <c r="H355" s="278"/>
      <c r="AJ355" s="122"/>
      <c r="AW355" s="122"/>
      <c r="AX355" s="122"/>
    </row>
    <row r="356" spans="4:50" ht="12.75" customHeight="1" x14ac:dyDescent="0.25">
      <c r="D356" s="281"/>
      <c r="E356" s="278"/>
      <c r="F356" s="278"/>
      <c r="G356" s="278"/>
      <c r="H356" s="278"/>
      <c r="AJ356" s="122"/>
      <c r="AW356" s="122"/>
      <c r="AX356" s="122"/>
    </row>
    <row r="357" spans="4:50" ht="12.75" customHeight="1" x14ac:dyDescent="0.25">
      <c r="D357" s="281"/>
      <c r="E357" s="278"/>
      <c r="F357" s="278"/>
      <c r="G357" s="278"/>
      <c r="H357" s="278"/>
      <c r="AJ357" s="122"/>
      <c r="AW357" s="122"/>
      <c r="AX357" s="122"/>
    </row>
    <row r="358" spans="4:50" ht="12.75" customHeight="1" x14ac:dyDescent="0.25">
      <c r="D358" s="281"/>
      <c r="E358" s="278"/>
      <c r="F358" s="278"/>
      <c r="G358" s="278"/>
      <c r="H358" s="278"/>
      <c r="AJ358" s="122"/>
      <c r="AW358" s="122"/>
      <c r="AX358" s="122"/>
    </row>
    <row r="359" spans="4:50" ht="12.75" customHeight="1" x14ac:dyDescent="0.25">
      <c r="D359" s="281"/>
      <c r="E359" s="278"/>
      <c r="F359" s="278"/>
      <c r="G359" s="278"/>
      <c r="H359" s="278"/>
      <c r="AJ359" s="122"/>
      <c r="AW359" s="122"/>
      <c r="AX359" s="122"/>
    </row>
    <row r="360" spans="4:50" ht="12.75" customHeight="1" x14ac:dyDescent="0.25">
      <c r="D360" s="281"/>
      <c r="E360" s="278"/>
      <c r="F360" s="278"/>
      <c r="G360" s="278"/>
      <c r="H360" s="278"/>
      <c r="AJ360" s="122"/>
      <c r="AW360" s="122"/>
      <c r="AX360" s="122"/>
    </row>
    <row r="361" spans="4:50" ht="12.75" customHeight="1" x14ac:dyDescent="0.25">
      <c r="D361" s="281"/>
      <c r="E361" s="278"/>
      <c r="F361" s="278"/>
      <c r="G361" s="278"/>
      <c r="H361" s="278"/>
      <c r="AJ361" s="122"/>
      <c r="AW361" s="122"/>
      <c r="AX361" s="122"/>
    </row>
    <row r="362" spans="4:50" ht="12.75" customHeight="1" x14ac:dyDescent="0.25">
      <c r="D362" s="281"/>
      <c r="E362" s="278"/>
      <c r="F362" s="278"/>
      <c r="G362" s="278"/>
      <c r="H362" s="278"/>
      <c r="AJ362" s="122"/>
      <c r="AW362" s="122"/>
      <c r="AX362" s="122"/>
    </row>
    <row r="363" spans="4:50" ht="12.75" customHeight="1" x14ac:dyDescent="0.25">
      <c r="D363" s="281"/>
      <c r="E363" s="278"/>
      <c r="F363" s="278"/>
      <c r="G363" s="278"/>
      <c r="H363" s="278"/>
      <c r="AJ363" s="122"/>
      <c r="AW363" s="122"/>
      <c r="AX363" s="122"/>
    </row>
    <row r="364" spans="4:50" ht="12.75" customHeight="1" x14ac:dyDescent="0.25">
      <c r="D364" s="281"/>
      <c r="E364" s="278"/>
      <c r="F364" s="278"/>
      <c r="G364" s="278"/>
      <c r="H364" s="278"/>
      <c r="AJ364" s="122"/>
      <c r="AW364" s="122"/>
      <c r="AX364" s="122"/>
    </row>
    <row r="365" spans="4:50" ht="12.75" customHeight="1" x14ac:dyDescent="0.25">
      <c r="D365" s="281"/>
      <c r="E365" s="278"/>
      <c r="F365" s="278"/>
      <c r="G365" s="278"/>
      <c r="H365" s="278"/>
      <c r="AJ365" s="122"/>
      <c r="AW365" s="122"/>
      <c r="AX365" s="122"/>
    </row>
    <row r="366" spans="4:50" ht="12.75" customHeight="1" x14ac:dyDescent="0.25">
      <c r="D366" s="281"/>
      <c r="E366" s="278"/>
      <c r="F366" s="278"/>
      <c r="G366" s="278"/>
      <c r="H366" s="278"/>
      <c r="AJ366" s="122"/>
      <c r="AW366" s="122"/>
      <c r="AX366" s="122"/>
    </row>
    <row r="367" spans="4:50" ht="12.75" customHeight="1" x14ac:dyDescent="0.25">
      <c r="D367" s="281"/>
      <c r="E367" s="278"/>
      <c r="F367" s="278"/>
      <c r="G367" s="278"/>
      <c r="H367" s="278"/>
      <c r="AJ367" s="122"/>
      <c r="AW367" s="122"/>
      <c r="AX367" s="122"/>
    </row>
    <row r="368" spans="4:50" ht="12.75" customHeight="1" x14ac:dyDescent="0.25">
      <c r="D368" s="281"/>
      <c r="E368" s="278"/>
      <c r="F368" s="278"/>
      <c r="G368" s="278"/>
      <c r="H368" s="278"/>
      <c r="AJ368" s="122"/>
      <c r="AW368" s="122"/>
      <c r="AX368" s="122"/>
    </row>
    <row r="369" spans="4:53" ht="12.75" customHeight="1" x14ac:dyDescent="0.25">
      <c r="D369" s="281"/>
      <c r="E369" s="278"/>
      <c r="F369" s="278"/>
      <c r="G369" s="278"/>
      <c r="H369" s="278"/>
      <c r="AJ369" s="122"/>
      <c r="AW369" s="122"/>
      <c r="AX369" s="122"/>
    </row>
    <row r="370" spans="4:53" ht="12.75" customHeight="1" x14ac:dyDescent="0.25">
      <c r="D370" s="281"/>
      <c r="E370" s="278"/>
      <c r="F370" s="278"/>
      <c r="G370" s="278"/>
      <c r="H370" s="278"/>
      <c r="AJ370" s="122"/>
      <c r="AW370" s="122"/>
      <c r="AX370" s="122"/>
    </row>
    <row r="371" spans="4:53" ht="12.75" customHeight="1" x14ac:dyDescent="0.25">
      <c r="D371" s="281"/>
      <c r="E371" s="278"/>
      <c r="F371" s="278"/>
      <c r="G371" s="278"/>
      <c r="H371" s="278"/>
      <c r="AJ371" s="122"/>
      <c r="AW371" s="122"/>
      <c r="AX371" s="122"/>
    </row>
    <row r="372" spans="4:53" ht="12.75" customHeight="1" x14ac:dyDescent="0.25">
      <c r="D372" s="281"/>
      <c r="E372" s="278"/>
      <c r="F372" s="278"/>
      <c r="G372" s="278"/>
      <c r="H372" s="278"/>
      <c r="AJ372" s="122"/>
      <c r="AW372" s="122"/>
      <c r="AX372" s="122"/>
    </row>
    <row r="373" spans="4:53" ht="12.75" customHeight="1" x14ac:dyDescent="0.25">
      <c r="D373" s="281"/>
      <c r="E373" s="278"/>
      <c r="F373" s="278"/>
      <c r="G373" s="278"/>
      <c r="H373" s="278"/>
      <c r="AJ373" s="122"/>
      <c r="AW373" s="122"/>
      <c r="AX373" s="122"/>
    </row>
    <row r="374" spans="4:53" ht="12.75" customHeight="1" x14ac:dyDescent="0.25">
      <c r="D374" s="281"/>
      <c r="E374" s="278"/>
      <c r="F374" s="278"/>
      <c r="G374" s="278"/>
      <c r="H374" s="278"/>
      <c r="AJ374" s="122"/>
      <c r="AW374" s="122"/>
      <c r="AX374" s="122"/>
    </row>
    <row r="375" spans="4:53" ht="12.75" customHeight="1" x14ac:dyDescent="0.25">
      <c r="D375" s="281"/>
      <c r="E375" s="278"/>
      <c r="F375" s="278"/>
      <c r="G375" s="278"/>
      <c r="H375" s="278"/>
      <c r="AJ375" s="122"/>
      <c r="AW375" s="122"/>
      <c r="AX375" s="122"/>
    </row>
    <row r="376" spans="4:53" ht="12.75" customHeight="1" x14ac:dyDescent="0.25">
      <c r="D376" s="281"/>
      <c r="E376" s="278"/>
      <c r="F376" s="278"/>
      <c r="G376" s="278"/>
      <c r="H376" s="278"/>
      <c r="AJ376" s="122"/>
      <c r="AW376" s="122"/>
      <c r="AX376" s="122"/>
    </row>
    <row r="377" spans="4:53" ht="12.75" customHeight="1" x14ac:dyDescent="0.25">
      <c r="D377" s="281"/>
      <c r="E377" s="278"/>
      <c r="F377" s="278"/>
      <c r="G377" s="278"/>
      <c r="H377" s="278"/>
      <c r="AJ377" s="122"/>
      <c r="AW377" s="122"/>
      <c r="AX377" s="122"/>
    </row>
    <row r="378" spans="4:53" ht="12.75" customHeight="1" x14ac:dyDescent="0.25">
      <c r="D378" s="281"/>
      <c r="E378" s="278"/>
      <c r="F378" s="278"/>
      <c r="G378" s="278"/>
      <c r="H378" s="278"/>
      <c r="AJ378" s="122"/>
      <c r="AW378" s="122"/>
      <c r="AX378" s="122"/>
    </row>
    <row r="379" spans="4:53" ht="12.75" customHeight="1" x14ac:dyDescent="0.25">
      <c r="D379" s="281"/>
      <c r="E379" s="278"/>
      <c r="F379" s="278"/>
      <c r="G379" s="278"/>
      <c r="H379" s="278"/>
      <c r="AJ379" s="122"/>
      <c r="AW379" s="122"/>
      <c r="AX379" s="122"/>
    </row>
    <row r="380" spans="4:53" ht="12.75" customHeight="1" x14ac:dyDescent="0.25">
      <c r="D380" s="281"/>
      <c r="E380" s="278"/>
      <c r="F380" s="278"/>
      <c r="G380" s="278"/>
      <c r="H380" s="278"/>
      <c r="AJ380" s="122"/>
      <c r="AW380" s="122"/>
      <c r="AX380" s="122"/>
    </row>
    <row r="381" spans="4:53" ht="12.75" customHeight="1" x14ac:dyDescent="0.25">
      <c r="D381" s="281"/>
      <c r="E381" s="278"/>
      <c r="F381" s="278"/>
      <c r="G381" s="278"/>
      <c r="H381" s="278"/>
      <c r="AJ381" s="122"/>
      <c r="AW381" s="122"/>
      <c r="AX381" s="122"/>
    </row>
    <row r="382" spans="4:53" ht="12.75" customHeight="1" x14ac:dyDescent="0.25">
      <c r="D382" s="281"/>
      <c r="E382" s="278"/>
      <c r="F382" s="278"/>
      <c r="G382" s="278"/>
      <c r="H382" s="278"/>
      <c r="AF382" s="435"/>
      <c r="AG382" s="436"/>
      <c r="AH382" s="435"/>
      <c r="AJ382" s="122"/>
      <c r="AW382" s="122"/>
      <c r="AX382" s="122"/>
    </row>
    <row r="383" spans="4:53" ht="12.75" customHeight="1" x14ac:dyDescent="0.25">
      <c r="D383" s="281"/>
      <c r="E383" s="278"/>
      <c r="F383" s="278"/>
      <c r="G383" s="278"/>
      <c r="H383" s="278"/>
      <c r="AF383" s="437"/>
      <c r="AG383" s="437"/>
      <c r="AH383" s="435"/>
      <c r="AI383" s="436"/>
      <c r="AJ383" s="438"/>
      <c r="AK383" s="439"/>
      <c r="AL383" s="440"/>
      <c r="AM383" s="441"/>
      <c r="AN383" s="441"/>
      <c r="AO383" s="442"/>
      <c r="AP383" s="443"/>
      <c r="AQ383" s="441"/>
      <c r="AR383" s="441"/>
      <c r="AS383" s="444">
        <v>20000</v>
      </c>
      <c r="AT383" s="441"/>
      <c r="AU383" s="435">
        <v>24</v>
      </c>
      <c r="AV383" s="445"/>
      <c r="AW383" s="446"/>
      <c r="AX383" s="445"/>
      <c r="AY383" s="441"/>
      <c r="AZ383" s="441"/>
      <c r="BA383" s="441"/>
    </row>
    <row r="384" spans="4:53" ht="12.75" customHeight="1" x14ac:dyDescent="0.25">
      <c r="D384" s="281"/>
      <c r="E384" s="278"/>
      <c r="F384" s="278"/>
      <c r="G384" s="278"/>
      <c r="H384" s="278"/>
      <c r="AF384" s="437"/>
      <c r="AG384" s="437"/>
      <c r="AH384" s="435"/>
      <c r="AI384" s="437"/>
      <c r="AJ384" s="447"/>
      <c r="AK384" s="448"/>
      <c r="AL384" s="449"/>
      <c r="AM384" s="444"/>
      <c r="AN384" s="444"/>
      <c r="AO384" s="450"/>
      <c r="AP384" s="451"/>
      <c r="AQ384" s="444"/>
      <c r="AR384" s="444"/>
      <c r="AS384" s="444">
        <v>15000</v>
      </c>
      <c r="AT384" s="444"/>
      <c r="AU384" s="437"/>
      <c r="AV384" s="452"/>
      <c r="AW384" s="453"/>
      <c r="AX384" s="452"/>
      <c r="AY384" s="444"/>
      <c r="AZ384" s="444"/>
      <c r="BA384" s="444"/>
    </row>
    <row r="385" spans="4:53" ht="12.75" customHeight="1" x14ac:dyDescent="0.25">
      <c r="D385" s="281"/>
      <c r="E385" s="278"/>
      <c r="F385" s="278"/>
      <c r="G385" s="278"/>
      <c r="H385" s="278"/>
      <c r="AF385" s="437"/>
      <c r="AG385" s="437"/>
      <c r="AH385" s="435"/>
      <c r="AI385" s="437"/>
      <c r="AJ385" s="447"/>
      <c r="AK385" s="448"/>
      <c r="AL385" s="449"/>
      <c r="AM385" s="444"/>
      <c r="AN385" s="444"/>
      <c r="AO385" s="450"/>
      <c r="AP385" s="451"/>
      <c r="AQ385" s="444"/>
      <c r="AR385" s="444"/>
      <c r="AS385" s="444"/>
      <c r="AT385" s="444"/>
      <c r="AU385" s="437"/>
      <c r="AV385" s="452"/>
      <c r="AW385" s="453"/>
      <c r="AX385" s="452"/>
      <c r="AY385" s="444"/>
      <c r="AZ385" s="444"/>
      <c r="BA385" s="444"/>
    </row>
    <row r="386" spans="4:53" ht="12.75" customHeight="1" x14ac:dyDescent="0.25">
      <c r="D386" s="281"/>
      <c r="E386" s="278"/>
      <c r="F386" s="278"/>
      <c r="G386" s="278"/>
      <c r="H386" s="278"/>
      <c r="AF386" s="437"/>
      <c r="AG386" s="437"/>
      <c r="AH386" s="435"/>
      <c r="AI386" s="437"/>
      <c r="AJ386" s="447"/>
      <c r="AK386" s="448"/>
      <c r="AL386" s="449"/>
      <c r="AM386" s="444"/>
      <c r="AN386" s="444"/>
      <c r="AO386" s="450"/>
      <c r="AP386" s="451"/>
      <c r="AQ386" s="444"/>
      <c r="AR386" s="444"/>
      <c r="AS386" s="444"/>
      <c r="AT386" s="444"/>
      <c r="AU386" s="437"/>
      <c r="AV386" s="452"/>
      <c r="AW386" s="453"/>
      <c r="AX386" s="452"/>
      <c r="AY386" s="444"/>
      <c r="AZ386" s="444"/>
      <c r="BA386" s="444"/>
    </row>
    <row r="387" spans="4:53" ht="12.75" customHeight="1" x14ac:dyDescent="0.25">
      <c r="D387" s="281"/>
      <c r="E387" s="278"/>
      <c r="F387" s="278"/>
      <c r="G387" s="278"/>
      <c r="H387" s="278"/>
      <c r="AF387" s="437"/>
      <c r="AG387" s="437"/>
      <c r="AH387" s="435"/>
      <c r="AI387" s="437"/>
      <c r="AJ387" s="447"/>
      <c r="AK387" s="448"/>
      <c r="AL387" s="449"/>
      <c r="AM387" s="444"/>
      <c r="AN387" s="444"/>
      <c r="AO387" s="450"/>
      <c r="AP387" s="451"/>
      <c r="AQ387" s="444"/>
      <c r="AR387" s="444"/>
      <c r="AS387" s="444"/>
      <c r="AT387" s="444"/>
      <c r="AU387" s="437"/>
      <c r="AV387" s="452"/>
      <c r="AW387" s="453"/>
      <c r="AX387" s="452"/>
      <c r="AY387" s="444"/>
      <c r="AZ387" s="444"/>
      <c r="BA387" s="444"/>
    </row>
    <row r="388" spans="4:53" ht="12.75" customHeight="1" x14ac:dyDescent="0.25">
      <c r="D388" s="281"/>
      <c r="E388" s="278"/>
      <c r="F388" s="278"/>
      <c r="G388" s="278"/>
      <c r="H388" s="278"/>
      <c r="AF388" s="437"/>
      <c r="AG388" s="437"/>
      <c r="AH388" s="435"/>
      <c r="AI388" s="437"/>
      <c r="AJ388" s="447"/>
      <c r="AK388" s="448"/>
      <c r="AL388" s="449"/>
      <c r="AM388" s="444"/>
      <c r="AN388" s="444"/>
      <c r="AO388" s="450"/>
      <c r="AP388" s="451"/>
      <c r="AQ388" s="444"/>
      <c r="AR388" s="444"/>
      <c r="AS388" s="444"/>
      <c r="AT388" s="444"/>
      <c r="AU388" s="437"/>
      <c r="AV388" s="452"/>
      <c r="AW388" s="453"/>
      <c r="AX388" s="452"/>
      <c r="AY388" s="444"/>
      <c r="AZ388" s="444"/>
      <c r="BA388" s="444"/>
    </row>
    <row r="389" spans="4:53" ht="12.75" customHeight="1" x14ac:dyDescent="0.25">
      <c r="D389" s="281"/>
      <c r="E389" s="278"/>
      <c r="F389" s="278"/>
      <c r="G389" s="278"/>
      <c r="H389" s="278"/>
      <c r="AF389" s="437"/>
      <c r="AG389" s="437"/>
      <c r="AH389" s="435"/>
      <c r="AI389" s="437"/>
      <c r="AJ389" s="447"/>
      <c r="AK389" s="448"/>
      <c r="AL389" s="449"/>
      <c r="AM389" s="444"/>
      <c r="AN389" s="444"/>
      <c r="AO389" s="450"/>
      <c r="AP389" s="451"/>
      <c r="AQ389" s="444"/>
      <c r="AR389" s="444"/>
      <c r="AS389" s="444"/>
      <c r="AT389" s="444"/>
      <c r="AU389" s="437"/>
      <c r="AV389" s="452"/>
      <c r="AW389" s="453"/>
      <c r="AX389" s="452"/>
      <c r="AY389" s="444"/>
      <c r="AZ389" s="444"/>
      <c r="BA389" s="444"/>
    </row>
    <row r="390" spans="4:53" ht="12.75" customHeight="1" x14ac:dyDescent="0.25">
      <c r="D390" s="281"/>
      <c r="E390" s="278"/>
      <c r="F390" s="278"/>
      <c r="G390" s="278"/>
      <c r="H390" s="278"/>
      <c r="AF390" s="437"/>
      <c r="AG390" s="437"/>
      <c r="AH390" s="435"/>
      <c r="AI390" s="437"/>
      <c r="AJ390" s="447"/>
      <c r="AK390" s="448"/>
      <c r="AL390" s="449"/>
      <c r="AM390" s="444"/>
      <c r="AN390" s="444"/>
      <c r="AO390" s="450"/>
      <c r="AP390" s="451"/>
      <c r="AQ390" s="444"/>
      <c r="AR390" s="444"/>
      <c r="AS390" s="444"/>
      <c r="AT390" s="444"/>
      <c r="AU390" s="437"/>
      <c r="AV390" s="452"/>
      <c r="AW390" s="453"/>
      <c r="AX390" s="452"/>
      <c r="AY390" s="444"/>
      <c r="AZ390" s="444"/>
      <c r="BA390" s="444"/>
    </row>
    <row r="391" spans="4:53" ht="12.75" customHeight="1" x14ac:dyDescent="0.25">
      <c r="D391" s="281"/>
      <c r="E391" s="278"/>
      <c r="F391" s="278"/>
      <c r="G391" s="278"/>
      <c r="H391" s="278"/>
      <c r="AF391" s="437"/>
      <c r="AG391" s="437"/>
      <c r="AH391" s="435"/>
      <c r="AI391" s="437"/>
      <c r="AJ391" s="447"/>
      <c r="AK391" s="448"/>
      <c r="AL391" s="449"/>
      <c r="AM391" s="444"/>
      <c r="AN391" s="444"/>
      <c r="AO391" s="450"/>
      <c r="AP391" s="451"/>
      <c r="AQ391" s="444"/>
      <c r="AR391" s="444"/>
      <c r="AS391" s="444"/>
      <c r="AT391" s="444"/>
      <c r="AU391" s="437"/>
      <c r="AV391" s="452"/>
      <c r="AW391" s="453"/>
      <c r="AX391" s="452"/>
      <c r="AY391" s="444"/>
      <c r="AZ391" s="444"/>
      <c r="BA391" s="444"/>
    </row>
    <row r="392" spans="4:53" ht="12.75" customHeight="1" x14ac:dyDescent="0.25">
      <c r="D392" s="281"/>
      <c r="E392" s="278"/>
      <c r="F392" s="278"/>
      <c r="G392" s="278"/>
      <c r="H392" s="278"/>
      <c r="AF392" s="176"/>
      <c r="AI392" s="437"/>
      <c r="AJ392" s="447"/>
      <c r="AK392" s="448"/>
      <c r="AL392" s="449"/>
      <c r="AM392" s="444"/>
      <c r="AN392" s="444"/>
      <c r="AO392" s="450"/>
      <c r="AP392" s="451"/>
      <c r="AQ392" s="444"/>
      <c r="AR392" s="444"/>
      <c r="AS392" s="444"/>
      <c r="AT392" s="444"/>
      <c r="AU392" s="437"/>
      <c r="AV392" s="452"/>
      <c r="AW392" s="453"/>
      <c r="AX392" s="452"/>
      <c r="AY392" s="444"/>
      <c r="AZ392" s="444"/>
      <c r="BA392" s="444"/>
    </row>
    <row r="393" spans="4:53" ht="12.75" customHeight="1" x14ac:dyDescent="0.25">
      <c r="D393" s="281"/>
      <c r="E393" s="278"/>
      <c r="F393" s="278"/>
      <c r="G393" s="278"/>
      <c r="H393" s="278"/>
      <c r="AF393" s="176"/>
      <c r="AJ393" s="454"/>
      <c r="AS393" s="248"/>
    </row>
    <row r="394" spans="4:53" ht="12.75" customHeight="1" x14ac:dyDescent="0.25">
      <c r="D394" s="281"/>
      <c r="E394" s="278"/>
      <c r="F394" s="278"/>
      <c r="G394" s="278"/>
      <c r="H394" s="278"/>
      <c r="AF394" s="176"/>
      <c r="AJ394" s="454"/>
      <c r="AS394" s="248"/>
    </row>
    <row r="395" spans="4:53" ht="12.75" customHeight="1" x14ac:dyDescent="0.25">
      <c r="D395" s="281"/>
      <c r="E395" s="278"/>
      <c r="F395" s="278"/>
      <c r="G395" s="278"/>
      <c r="H395" s="278"/>
      <c r="AF395" s="176"/>
      <c r="AJ395" s="454"/>
      <c r="AS395" s="248"/>
    </row>
    <row r="396" spans="4:53" ht="12.75" customHeight="1" x14ac:dyDescent="0.25">
      <c r="D396" s="281"/>
      <c r="E396" s="278"/>
      <c r="F396" s="278"/>
      <c r="G396" s="278"/>
      <c r="H396" s="278"/>
      <c r="AF396" s="176"/>
      <c r="AJ396" s="454"/>
      <c r="AS396" s="248"/>
    </row>
    <row r="397" spans="4:53" ht="12.75" customHeight="1" x14ac:dyDescent="0.25">
      <c r="D397" s="281"/>
      <c r="E397" s="278"/>
      <c r="F397" s="278"/>
      <c r="G397" s="278"/>
      <c r="H397" s="278"/>
      <c r="AF397" s="176"/>
      <c r="AJ397" s="454"/>
      <c r="AS397" s="248"/>
    </row>
    <row r="398" spans="4:53" ht="12.75" customHeight="1" x14ac:dyDescent="0.25">
      <c r="D398" s="281"/>
      <c r="E398" s="278"/>
      <c r="F398" s="278"/>
      <c r="G398" s="278"/>
      <c r="H398" s="278"/>
      <c r="AF398" s="176"/>
      <c r="AJ398" s="454"/>
      <c r="AS398" s="248"/>
    </row>
    <row r="399" spans="4:53" ht="12.75" customHeight="1" x14ac:dyDescent="0.25">
      <c r="D399" s="281"/>
      <c r="E399" s="278"/>
      <c r="F399" s="278"/>
      <c r="G399" s="278"/>
      <c r="H399" s="278"/>
      <c r="AF399" s="176"/>
      <c r="AJ399" s="454"/>
      <c r="AS399" s="248"/>
    </row>
    <row r="400" spans="4:53" ht="12.75" customHeight="1" x14ac:dyDescent="0.25">
      <c r="D400" s="281"/>
      <c r="E400" s="278"/>
      <c r="F400" s="278"/>
      <c r="G400" s="278"/>
      <c r="H400" s="278"/>
      <c r="AJ400" s="454"/>
      <c r="AS400" s="248"/>
    </row>
    <row r="401" spans="4:36" ht="12.75" customHeight="1" x14ac:dyDescent="0.25">
      <c r="D401" s="281"/>
      <c r="E401" s="278"/>
      <c r="F401" s="278"/>
      <c r="G401" s="278"/>
      <c r="H401" s="278"/>
      <c r="AJ401" s="454"/>
    </row>
    <row r="402" spans="4:36" ht="12.75" customHeight="1" x14ac:dyDescent="0.25">
      <c r="D402" s="281"/>
      <c r="E402" s="278"/>
      <c r="F402" s="278"/>
      <c r="G402" s="278"/>
      <c r="H402" s="278"/>
      <c r="AJ402" s="454"/>
    </row>
    <row r="403" spans="4:36" ht="12.75" customHeight="1" x14ac:dyDescent="0.25">
      <c r="D403" s="281"/>
      <c r="E403" s="278"/>
      <c r="F403" s="278"/>
      <c r="G403" s="278"/>
      <c r="H403" s="278"/>
      <c r="AJ403" s="454"/>
    </row>
    <row r="404" spans="4:36" ht="12.75" customHeight="1" x14ac:dyDescent="0.25">
      <c r="D404" s="281"/>
      <c r="E404" s="278"/>
      <c r="F404" s="278"/>
      <c r="G404" s="278"/>
      <c r="H404" s="278"/>
      <c r="AJ404" s="454"/>
    </row>
    <row r="405" spans="4:36" ht="12.75" customHeight="1" x14ac:dyDescent="0.25">
      <c r="D405" s="281"/>
      <c r="E405" s="278"/>
      <c r="F405" s="278"/>
      <c r="G405" s="278"/>
      <c r="H405" s="278"/>
      <c r="AJ405" s="454"/>
    </row>
    <row r="406" spans="4:36" ht="12.75" customHeight="1" x14ac:dyDescent="0.25">
      <c r="D406" s="281"/>
      <c r="E406" s="278"/>
      <c r="F406" s="278"/>
      <c r="G406" s="278"/>
      <c r="H406" s="278"/>
      <c r="AJ406" s="454"/>
    </row>
    <row r="407" spans="4:36" ht="12.75" customHeight="1" x14ac:dyDescent="0.25">
      <c r="D407" s="281"/>
      <c r="E407" s="278"/>
      <c r="F407" s="278"/>
      <c r="G407" s="278"/>
      <c r="H407" s="278"/>
      <c r="AJ407" s="454"/>
    </row>
    <row r="408" spans="4:36" ht="12.75" customHeight="1" x14ac:dyDescent="0.25">
      <c r="D408" s="281"/>
      <c r="E408" s="278"/>
      <c r="F408" s="278"/>
      <c r="G408" s="278"/>
      <c r="H408" s="278"/>
    </row>
    <row r="409" spans="4:36" ht="12.75" customHeight="1" x14ac:dyDescent="0.25">
      <c r="D409" s="281"/>
      <c r="E409" s="278"/>
      <c r="F409" s="278"/>
      <c r="G409" s="278"/>
      <c r="H409" s="278"/>
    </row>
    <row r="410" spans="4:36" ht="12.75" customHeight="1" x14ac:dyDescent="0.25">
      <c r="D410" s="281"/>
      <c r="E410" s="278"/>
      <c r="F410" s="278"/>
      <c r="G410" s="278"/>
      <c r="H410" s="278"/>
    </row>
    <row r="411" spans="4:36" ht="12.75" customHeight="1" x14ac:dyDescent="0.25">
      <c r="D411" s="281"/>
      <c r="E411" s="278"/>
      <c r="F411" s="278"/>
      <c r="G411" s="278"/>
      <c r="H411" s="278"/>
    </row>
    <row r="412" spans="4:36" ht="12.75" customHeight="1" x14ac:dyDescent="0.25">
      <c r="D412" s="281"/>
      <c r="E412" s="278"/>
      <c r="F412" s="278"/>
      <c r="G412" s="278"/>
      <c r="H412" s="278"/>
    </row>
    <row r="413" spans="4:36" ht="12.75" customHeight="1" x14ac:dyDescent="0.25">
      <c r="D413" s="281"/>
      <c r="E413" s="278"/>
      <c r="F413" s="278"/>
      <c r="G413" s="278"/>
      <c r="H413" s="278"/>
    </row>
    <row r="414" spans="4:36" ht="12.75" customHeight="1" x14ac:dyDescent="0.25">
      <c r="D414" s="281"/>
      <c r="E414" s="278"/>
      <c r="F414" s="278"/>
      <c r="G414" s="278"/>
      <c r="H414" s="278"/>
    </row>
    <row r="415" spans="4:36" ht="12.75" customHeight="1" x14ac:dyDescent="0.25">
      <c r="D415" s="281"/>
      <c r="E415" s="278"/>
      <c r="F415" s="278"/>
      <c r="G415" s="278"/>
      <c r="H415" s="278"/>
    </row>
    <row r="416" spans="4:36" ht="12.75" customHeight="1" x14ac:dyDescent="0.25">
      <c r="D416" s="281"/>
      <c r="E416" s="278"/>
      <c r="F416" s="278"/>
      <c r="G416" s="278"/>
      <c r="H416" s="278"/>
    </row>
    <row r="417" spans="4:8" ht="12.75" customHeight="1" x14ac:dyDescent="0.25">
      <c r="D417" s="281"/>
      <c r="E417" s="278"/>
      <c r="F417" s="278"/>
      <c r="G417" s="278"/>
      <c r="H417" s="278"/>
    </row>
    <row r="418" spans="4:8" ht="12.75" customHeight="1" x14ac:dyDescent="0.25">
      <c r="D418" s="281"/>
      <c r="E418" s="278"/>
      <c r="F418" s="278"/>
      <c r="G418" s="278"/>
      <c r="H418" s="278"/>
    </row>
    <row r="419" spans="4:8" ht="12.75" customHeight="1" x14ac:dyDescent="0.25">
      <c r="D419" s="281"/>
      <c r="E419" s="278"/>
      <c r="F419" s="278"/>
      <c r="G419" s="278"/>
      <c r="H419" s="278"/>
    </row>
    <row r="420" spans="4:8" ht="12.75" customHeight="1" x14ac:dyDescent="0.25">
      <c r="D420" s="281"/>
      <c r="E420" s="278"/>
      <c r="F420" s="278"/>
      <c r="G420" s="278"/>
      <c r="H420" s="278"/>
    </row>
    <row r="421" spans="4:8" ht="12.75" customHeight="1" x14ac:dyDescent="0.25">
      <c r="D421" s="281"/>
      <c r="E421" s="278"/>
      <c r="F421" s="278"/>
      <c r="G421" s="278"/>
      <c r="H421" s="278"/>
    </row>
    <row r="422" spans="4:8" ht="12.75" customHeight="1" x14ac:dyDescent="0.25">
      <c r="D422" s="281"/>
      <c r="E422" s="278"/>
      <c r="F422" s="278"/>
      <c r="G422" s="278"/>
      <c r="H422" s="278"/>
    </row>
    <row r="423" spans="4:8" ht="12.75" customHeight="1" x14ac:dyDescent="0.25">
      <c r="D423" s="281"/>
      <c r="E423" s="278"/>
      <c r="F423" s="278"/>
      <c r="G423" s="278"/>
      <c r="H423" s="278"/>
    </row>
    <row r="424" spans="4:8" ht="12.75" customHeight="1" x14ac:dyDescent="0.25">
      <c r="D424" s="281"/>
      <c r="E424" s="278"/>
      <c r="F424" s="278"/>
      <c r="G424" s="278"/>
      <c r="H424" s="278"/>
    </row>
    <row r="425" spans="4:8" ht="12.75" customHeight="1" x14ac:dyDescent="0.25">
      <c r="D425" s="281"/>
      <c r="E425" s="278"/>
      <c r="F425" s="278"/>
      <c r="G425" s="278"/>
      <c r="H425" s="278"/>
    </row>
    <row r="426" spans="4:8" ht="12.75" customHeight="1" x14ac:dyDescent="0.25">
      <c r="D426" s="281"/>
      <c r="E426" s="278"/>
      <c r="F426" s="278"/>
      <c r="G426" s="278"/>
      <c r="H426" s="278"/>
    </row>
    <row r="427" spans="4:8" ht="12.75" customHeight="1" x14ac:dyDescent="0.25">
      <c r="D427" s="281"/>
      <c r="E427" s="278"/>
      <c r="F427" s="278"/>
      <c r="G427" s="278"/>
      <c r="H427" s="278"/>
    </row>
    <row r="428" spans="4:8" ht="12.75" customHeight="1" x14ac:dyDescent="0.25">
      <c r="D428" s="281"/>
      <c r="E428" s="278"/>
      <c r="F428" s="278"/>
      <c r="G428" s="278"/>
      <c r="H428" s="278"/>
    </row>
    <row r="429" spans="4:8" ht="12.75" customHeight="1" x14ac:dyDescent="0.25">
      <c r="D429" s="281"/>
      <c r="E429" s="278"/>
      <c r="F429" s="278"/>
      <c r="G429" s="278"/>
      <c r="H429" s="278"/>
    </row>
    <row r="430" spans="4:8" ht="12.75" customHeight="1" x14ac:dyDescent="0.25">
      <c r="D430" s="281"/>
      <c r="E430" s="278"/>
      <c r="F430" s="278"/>
      <c r="G430" s="278"/>
      <c r="H430" s="278"/>
    </row>
    <row r="431" spans="4:8" ht="12.75" customHeight="1" x14ac:dyDescent="0.25">
      <c r="D431" s="281"/>
      <c r="E431" s="278"/>
      <c r="F431" s="278"/>
      <c r="G431" s="278"/>
      <c r="H431" s="278"/>
    </row>
    <row r="432" spans="4:8" ht="12.75" customHeight="1" x14ac:dyDescent="0.25">
      <c r="D432" s="281"/>
      <c r="E432" s="278"/>
      <c r="F432" s="278"/>
      <c r="G432" s="278"/>
      <c r="H432" s="278"/>
    </row>
    <row r="433" spans="4:8" ht="12.75" customHeight="1" x14ac:dyDescent="0.25">
      <c r="D433" s="281"/>
      <c r="E433" s="278"/>
      <c r="F433" s="278"/>
      <c r="G433" s="278"/>
      <c r="H433" s="278"/>
    </row>
    <row r="434" spans="4:8" ht="12.75" customHeight="1" x14ac:dyDescent="0.25">
      <c r="D434" s="281"/>
      <c r="E434" s="278"/>
      <c r="F434" s="278"/>
      <c r="G434" s="278"/>
      <c r="H434" s="278"/>
    </row>
    <row r="435" spans="4:8" ht="12.75" customHeight="1" x14ac:dyDescent="0.25">
      <c r="D435" s="281"/>
      <c r="E435" s="278"/>
      <c r="F435" s="278"/>
      <c r="G435" s="278"/>
      <c r="H435" s="278"/>
    </row>
    <row r="436" spans="4:8" ht="12.75" customHeight="1" x14ac:dyDescent="0.25">
      <c r="D436" s="281"/>
      <c r="E436" s="278"/>
      <c r="F436" s="278"/>
      <c r="G436" s="278"/>
      <c r="H436" s="278"/>
    </row>
    <row r="437" spans="4:8" ht="12.75" customHeight="1" x14ac:dyDescent="0.25">
      <c r="D437" s="281"/>
      <c r="E437" s="278"/>
      <c r="F437" s="278"/>
      <c r="G437" s="278"/>
      <c r="H437" s="278"/>
    </row>
    <row r="438" spans="4:8" ht="12.75" customHeight="1" x14ac:dyDescent="0.25">
      <c r="D438" s="281"/>
      <c r="E438" s="278"/>
      <c r="F438" s="278"/>
      <c r="G438" s="278"/>
      <c r="H438" s="278"/>
    </row>
    <row r="439" spans="4:8" ht="12.75" customHeight="1" x14ac:dyDescent="0.25">
      <c r="D439" s="281"/>
      <c r="E439" s="278"/>
      <c r="F439" s="278"/>
      <c r="G439" s="278"/>
      <c r="H439" s="278"/>
    </row>
    <row r="440" spans="4:8" ht="12.75" customHeight="1" x14ac:dyDescent="0.25">
      <c r="D440" s="281"/>
      <c r="E440" s="278"/>
      <c r="F440" s="278"/>
      <c r="G440" s="278"/>
      <c r="H440" s="278"/>
    </row>
    <row r="441" spans="4:8" ht="12.75" customHeight="1" x14ac:dyDescent="0.25">
      <c r="D441" s="281"/>
      <c r="E441" s="278"/>
      <c r="F441" s="278"/>
      <c r="G441" s="278"/>
      <c r="H441" s="278"/>
    </row>
    <row r="442" spans="4:8" ht="12.75" customHeight="1" x14ac:dyDescent="0.25">
      <c r="D442" s="281"/>
      <c r="E442" s="278"/>
      <c r="F442" s="278"/>
      <c r="G442" s="278"/>
      <c r="H442" s="278"/>
    </row>
    <row r="443" spans="4:8" ht="12.75" customHeight="1" x14ac:dyDescent="0.25">
      <c r="D443" s="281"/>
      <c r="E443" s="278"/>
      <c r="F443" s="278"/>
      <c r="G443" s="278"/>
      <c r="H443" s="278"/>
    </row>
    <row r="444" spans="4:8" ht="12.75" customHeight="1" x14ac:dyDescent="0.25">
      <c r="D444" s="281"/>
      <c r="E444" s="278"/>
      <c r="F444" s="278"/>
      <c r="G444" s="278"/>
      <c r="H444" s="278"/>
    </row>
    <row r="445" spans="4:8" ht="12.75" customHeight="1" x14ac:dyDescent="0.25">
      <c r="D445" s="281"/>
      <c r="E445" s="278"/>
      <c r="F445" s="278"/>
      <c r="G445" s="278"/>
      <c r="H445" s="278"/>
    </row>
    <row r="446" spans="4:8" ht="12.75" customHeight="1" x14ac:dyDescent="0.25">
      <c r="D446" s="281"/>
      <c r="E446" s="278"/>
      <c r="F446" s="278"/>
      <c r="G446" s="278"/>
      <c r="H446" s="278"/>
    </row>
    <row r="447" spans="4:8" ht="12.75" customHeight="1" x14ac:dyDescent="0.25">
      <c r="D447" s="281"/>
      <c r="E447" s="278"/>
      <c r="F447" s="278"/>
      <c r="G447" s="278"/>
      <c r="H447" s="278"/>
    </row>
    <row r="448" spans="4:8" ht="12.75" customHeight="1" x14ac:dyDescent="0.25">
      <c r="D448" s="281"/>
      <c r="E448" s="278"/>
      <c r="F448" s="278"/>
      <c r="G448" s="278"/>
      <c r="H448" s="278"/>
    </row>
    <row r="449" spans="4:8" ht="12.75" customHeight="1" x14ac:dyDescent="0.25">
      <c r="D449" s="281"/>
      <c r="E449" s="278"/>
      <c r="F449" s="278"/>
      <c r="G449" s="278"/>
      <c r="H449" s="278"/>
    </row>
    <row r="450" spans="4:8" ht="12.75" customHeight="1" x14ac:dyDescent="0.25">
      <c r="D450" s="281"/>
      <c r="E450" s="278"/>
      <c r="F450" s="278"/>
      <c r="G450" s="278"/>
      <c r="H450" s="278"/>
    </row>
    <row r="451" spans="4:8" ht="12.75" customHeight="1" x14ac:dyDescent="0.25">
      <c r="D451" s="281"/>
      <c r="E451" s="278"/>
      <c r="F451" s="278"/>
      <c r="G451" s="278"/>
      <c r="H451" s="278"/>
    </row>
    <row r="452" spans="4:8" ht="12.75" customHeight="1" x14ac:dyDescent="0.25">
      <c r="D452" s="281"/>
      <c r="E452" s="278"/>
      <c r="F452" s="278"/>
      <c r="G452" s="278"/>
      <c r="H452" s="278"/>
    </row>
    <row r="453" spans="4:8" ht="12.75" customHeight="1" x14ac:dyDescent="0.25">
      <c r="D453" s="281"/>
      <c r="E453" s="278"/>
      <c r="F453" s="278"/>
      <c r="G453" s="278"/>
      <c r="H453" s="278"/>
    </row>
    <row r="454" spans="4:8" ht="12.75" customHeight="1" x14ac:dyDescent="0.25">
      <c r="D454" s="281"/>
      <c r="E454" s="278"/>
      <c r="F454" s="278"/>
      <c r="G454" s="278"/>
      <c r="H454" s="278"/>
    </row>
    <row r="455" spans="4:8" ht="12.75" customHeight="1" x14ac:dyDescent="0.25">
      <c r="D455" s="281"/>
      <c r="E455" s="278"/>
      <c r="F455" s="278"/>
      <c r="G455" s="278"/>
      <c r="H455" s="278"/>
    </row>
    <row r="456" spans="4:8" ht="12.75" customHeight="1" x14ac:dyDescent="0.25">
      <c r="D456" s="281"/>
      <c r="E456" s="278"/>
      <c r="F456" s="278"/>
      <c r="G456" s="278"/>
      <c r="H456" s="278"/>
    </row>
    <row r="457" spans="4:8" ht="12.75" customHeight="1" x14ac:dyDescent="0.25">
      <c r="D457" s="281"/>
      <c r="E457" s="278"/>
      <c r="F457" s="278"/>
      <c r="G457" s="278"/>
      <c r="H457" s="278"/>
    </row>
    <row r="458" spans="4:8" ht="12.75" customHeight="1" x14ac:dyDescent="0.25">
      <c r="D458" s="281"/>
      <c r="E458" s="278"/>
      <c r="F458" s="278"/>
      <c r="G458" s="278"/>
      <c r="H458" s="278"/>
    </row>
    <row r="459" spans="4:8" ht="12.75" customHeight="1" x14ac:dyDescent="0.25">
      <c r="D459" s="281"/>
      <c r="E459" s="278"/>
      <c r="F459" s="278"/>
      <c r="G459" s="278"/>
      <c r="H459" s="278"/>
    </row>
    <row r="460" spans="4:8" ht="12.75" customHeight="1" x14ac:dyDescent="0.25">
      <c r="D460" s="281"/>
      <c r="E460" s="278"/>
      <c r="F460" s="278"/>
      <c r="G460" s="278"/>
      <c r="H460" s="278"/>
    </row>
    <row r="461" spans="4:8" ht="12.75" customHeight="1" x14ac:dyDescent="0.25">
      <c r="D461" s="281"/>
      <c r="E461" s="278"/>
      <c r="F461" s="278"/>
      <c r="G461" s="278"/>
      <c r="H461" s="278"/>
    </row>
    <row r="462" spans="4:8" ht="12.75" customHeight="1" x14ac:dyDescent="0.25">
      <c r="D462" s="281"/>
      <c r="E462" s="278"/>
      <c r="F462" s="278"/>
      <c r="G462" s="278"/>
      <c r="H462" s="278"/>
    </row>
    <row r="463" spans="4:8" ht="12.75" customHeight="1" x14ac:dyDescent="0.25">
      <c r="D463" s="281"/>
      <c r="E463" s="278"/>
      <c r="F463" s="278"/>
      <c r="G463" s="278"/>
      <c r="H463" s="278"/>
    </row>
    <row r="464" spans="4:8" ht="12.75" customHeight="1" x14ac:dyDescent="0.25">
      <c r="D464" s="281"/>
      <c r="E464" s="278"/>
      <c r="F464" s="278"/>
      <c r="G464" s="278"/>
      <c r="H464" s="278"/>
    </row>
    <row r="465" spans="4:8" ht="12.75" customHeight="1" x14ac:dyDescent="0.25">
      <c r="D465" s="281"/>
      <c r="E465" s="278"/>
      <c r="F465" s="278"/>
      <c r="G465" s="278"/>
      <c r="H465" s="278"/>
    </row>
    <row r="466" spans="4:8" ht="12.75" customHeight="1" x14ac:dyDescent="0.25">
      <c r="D466" s="281"/>
      <c r="E466" s="278"/>
      <c r="F466" s="278"/>
      <c r="G466" s="278"/>
      <c r="H466" s="278"/>
    </row>
    <row r="467" spans="4:8" ht="12.75" customHeight="1" x14ac:dyDescent="0.25">
      <c r="D467" s="281"/>
      <c r="E467" s="278"/>
      <c r="F467" s="278"/>
      <c r="G467" s="278"/>
      <c r="H467" s="278"/>
    </row>
    <row r="468" spans="4:8" ht="12.75" customHeight="1" x14ac:dyDescent="0.25">
      <c r="D468" s="281"/>
      <c r="E468" s="278"/>
      <c r="F468" s="278"/>
      <c r="G468" s="278"/>
      <c r="H468" s="278"/>
    </row>
    <row r="469" spans="4:8" ht="12.75" customHeight="1" x14ac:dyDescent="0.25">
      <c r="D469" s="281"/>
      <c r="E469" s="278"/>
      <c r="F469" s="278"/>
      <c r="G469" s="278"/>
      <c r="H469" s="278"/>
    </row>
    <row r="470" spans="4:8" ht="12.75" customHeight="1" x14ac:dyDescent="0.25">
      <c r="D470" s="281"/>
      <c r="E470" s="278"/>
      <c r="F470" s="278"/>
      <c r="G470" s="278"/>
      <c r="H470" s="278"/>
    </row>
    <row r="471" spans="4:8" ht="12.75" customHeight="1" x14ac:dyDescent="0.25">
      <c r="D471" s="281"/>
      <c r="E471" s="278"/>
      <c r="F471" s="278"/>
      <c r="G471" s="278"/>
      <c r="H471" s="278"/>
    </row>
    <row r="472" spans="4:8" ht="12.75" customHeight="1" x14ac:dyDescent="0.25">
      <c r="D472" s="281"/>
      <c r="E472" s="278"/>
      <c r="F472" s="278"/>
      <c r="G472" s="278"/>
      <c r="H472" s="278"/>
    </row>
    <row r="473" spans="4:8" ht="12.75" customHeight="1" x14ac:dyDescent="0.25">
      <c r="D473" s="281"/>
      <c r="E473" s="278"/>
      <c r="F473" s="278"/>
      <c r="G473" s="278"/>
      <c r="H473" s="278"/>
    </row>
    <row r="474" spans="4:8" ht="12.75" customHeight="1" x14ac:dyDescent="0.25">
      <c r="D474" s="281"/>
      <c r="E474" s="278"/>
      <c r="F474" s="278"/>
      <c r="G474" s="278"/>
      <c r="H474" s="278"/>
    </row>
    <row r="475" spans="4:8" ht="12.75" customHeight="1" x14ac:dyDescent="0.25">
      <c r="D475" s="281"/>
      <c r="E475" s="278"/>
      <c r="F475" s="278"/>
      <c r="G475" s="278"/>
      <c r="H475" s="278"/>
    </row>
    <row r="476" spans="4:8" ht="12.75" customHeight="1" x14ac:dyDescent="0.25">
      <c r="D476" s="281"/>
      <c r="E476" s="278"/>
      <c r="F476" s="278"/>
      <c r="G476" s="278"/>
      <c r="H476" s="278"/>
    </row>
    <row r="477" spans="4:8" ht="12.75" customHeight="1" x14ac:dyDescent="0.25">
      <c r="D477" s="281"/>
      <c r="E477" s="278"/>
      <c r="F477" s="278"/>
      <c r="G477" s="278"/>
      <c r="H477" s="278"/>
    </row>
    <row r="478" spans="4:8" ht="12.75" customHeight="1" x14ac:dyDescent="0.25">
      <c r="D478" s="281"/>
      <c r="E478" s="278"/>
      <c r="F478" s="278"/>
      <c r="G478" s="278"/>
      <c r="H478" s="278"/>
    </row>
    <row r="479" spans="4:8" ht="12.75" customHeight="1" x14ac:dyDescent="0.25">
      <c r="D479" s="281"/>
      <c r="E479" s="278"/>
      <c r="F479" s="278"/>
      <c r="G479" s="278"/>
      <c r="H479" s="278"/>
    </row>
    <row r="480" spans="4:8" ht="12.75" customHeight="1" x14ac:dyDescent="0.25">
      <c r="D480" s="281"/>
      <c r="E480" s="278"/>
      <c r="F480" s="278"/>
      <c r="G480" s="278"/>
      <c r="H480" s="278"/>
    </row>
    <row r="481" spans="4:8" ht="12.75" customHeight="1" x14ac:dyDescent="0.25">
      <c r="D481" s="281"/>
      <c r="E481" s="278"/>
      <c r="F481" s="278"/>
      <c r="G481" s="278"/>
      <c r="H481" s="278"/>
    </row>
    <row r="482" spans="4:8" ht="12.75" customHeight="1" x14ac:dyDescent="0.25">
      <c r="D482" s="281"/>
      <c r="E482" s="278"/>
      <c r="F482" s="278"/>
      <c r="G482" s="278"/>
      <c r="H482" s="278"/>
    </row>
    <row r="483" spans="4:8" ht="12.75" customHeight="1" x14ac:dyDescent="0.25">
      <c r="D483" s="281"/>
      <c r="E483" s="278"/>
      <c r="F483" s="278"/>
      <c r="G483" s="278"/>
      <c r="H483" s="278"/>
    </row>
    <row r="484" spans="4:8" ht="12.75" customHeight="1" x14ac:dyDescent="0.25">
      <c r="D484" s="281"/>
      <c r="E484" s="278"/>
      <c r="F484" s="278"/>
      <c r="G484" s="278"/>
      <c r="H484" s="278"/>
    </row>
    <row r="485" spans="4:8" ht="12.75" customHeight="1" x14ac:dyDescent="0.25">
      <c r="D485" s="281"/>
      <c r="E485" s="278"/>
      <c r="F485" s="278"/>
      <c r="G485" s="278"/>
      <c r="H485" s="278"/>
    </row>
    <row r="486" spans="4:8" ht="12.75" customHeight="1" x14ac:dyDescent="0.25">
      <c r="D486" s="281"/>
      <c r="E486" s="278"/>
      <c r="F486" s="278"/>
      <c r="G486" s="278"/>
      <c r="H486" s="278"/>
    </row>
    <row r="487" spans="4:8" ht="12.75" customHeight="1" x14ac:dyDescent="0.25">
      <c r="D487" s="281"/>
      <c r="E487" s="278"/>
      <c r="F487" s="278"/>
      <c r="G487" s="278"/>
      <c r="H487" s="278"/>
    </row>
    <row r="488" spans="4:8" ht="12.75" customHeight="1" x14ac:dyDescent="0.25">
      <c r="D488" s="281"/>
      <c r="E488" s="278"/>
      <c r="F488" s="278"/>
      <c r="G488" s="278"/>
      <c r="H488" s="278"/>
    </row>
    <row r="489" spans="4:8" ht="12.75" customHeight="1" x14ac:dyDescent="0.25">
      <c r="D489" s="281"/>
      <c r="E489" s="278"/>
      <c r="F489" s="278"/>
      <c r="G489" s="278"/>
      <c r="H489" s="278"/>
    </row>
    <row r="490" spans="4:8" ht="12.75" customHeight="1" x14ac:dyDescent="0.25">
      <c r="D490" s="281"/>
      <c r="E490" s="278"/>
      <c r="F490" s="278"/>
      <c r="G490" s="278"/>
      <c r="H490" s="278"/>
    </row>
    <row r="491" spans="4:8" ht="12.75" customHeight="1" x14ac:dyDescent="0.25">
      <c r="D491" s="281"/>
      <c r="E491" s="278"/>
      <c r="F491" s="278"/>
      <c r="G491" s="278"/>
      <c r="H491" s="278"/>
    </row>
    <row r="492" spans="4:8" ht="12.75" customHeight="1" x14ac:dyDescent="0.25">
      <c r="D492" s="281"/>
      <c r="E492" s="278"/>
      <c r="F492" s="278"/>
      <c r="G492" s="278"/>
      <c r="H492" s="278"/>
    </row>
    <row r="493" spans="4:8" ht="12.75" customHeight="1" x14ac:dyDescent="0.25">
      <c r="D493" s="281"/>
      <c r="E493" s="278"/>
      <c r="F493" s="278"/>
      <c r="G493" s="278"/>
      <c r="H493" s="278"/>
    </row>
    <row r="494" spans="4:8" ht="12.75" customHeight="1" x14ac:dyDescent="0.25">
      <c r="D494" s="281"/>
      <c r="E494" s="278"/>
      <c r="F494" s="278"/>
      <c r="G494" s="278"/>
      <c r="H494" s="278"/>
    </row>
    <row r="495" spans="4:8" ht="12.75" customHeight="1" x14ac:dyDescent="0.25">
      <c r="D495" s="281"/>
      <c r="E495" s="278"/>
      <c r="F495" s="278"/>
      <c r="G495" s="278"/>
      <c r="H495" s="278"/>
    </row>
    <row r="496" spans="4:8" ht="12.75" customHeight="1" x14ac:dyDescent="0.25">
      <c r="D496" s="281"/>
      <c r="E496" s="278"/>
      <c r="F496" s="278"/>
      <c r="G496" s="278"/>
      <c r="H496" s="278"/>
    </row>
    <row r="497" spans="4:8" ht="12.75" customHeight="1" x14ac:dyDescent="0.25">
      <c r="D497" s="281"/>
      <c r="E497" s="278"/>
      <c r="F497" s="278"/>
      <c r="G497" s="278"/>
      <c r="H497" s="278"/>
    </row>
    <row r="498" spans="4:8" ht="12.75" customHeight="1" x14ac:dyDescent="0.25">
      <c r="D498" s="281"/>
      <c r="E498" s="278"/>
      <c r="F498" s="278"/>
      <c r="G498" s="278"/>
      <c r="H498" s="278"/>
    </row>
    <row r="499" spans="4:8" ht="12.75" customHeight="1" x14ac:dyDescent="0.25">
      <c r="D499" s="281"/>
      <c r="E499" s="278"/>
      <c r="F499" s="278"/>
      <c r="G499" s="278"/>
      <c r="H499" s="278"/>
    </row>
    <row r="500" spans="4:8" ht="12.75" customHeight="1" x14ac:dyDescent="0.25">
      <c r="D500" s="281"/>
      <c r="E500" s="278"/>
      <c r="F500" s="278"/>
      <c r="G500" s="278"/>
      <c r="H500" s="278"/>
    </row>
    <row r="501" spans="4:8" ht="12.75" customHeight="1" x14ac:dyDescent="0.25">
      <c r="D501" s="281"/>
      <c r="E501" s="278"/>
      <c r="F501" s="278"/>
      <c r="G501" s="278"/>
      <c r="H501" s="278"/>
    </row>
    <row r="502" spans="4:8" ht="12.75" customHeight="1" x14ac:dyDescent="0.25">
      <c r="D502" s="281"/>
      <c r="E502" s="278"/>
      <c r="F502" s="278"/>
      <c r="G502" s="278"/>
      <c r="H502" s="278"/>
    </row>
    <row r="503" spans="4:8" ht="12.75" customHeight="1" x14ac:dyDescent="0.25">
      <c r="D503" s="281"/>
      <c r="E503" s="278"/>
      <c r="F503" s="278"/>
      <c r="G503" s="278"/>
      <c r="H503" s="278"/>
    </row>
    <row r="504" spans="4:8" ht="12.75" customHeight="1" x14ac:dyDescent="0.25">
      <c r="D504" s="281"/>
      <c r="E504" s="278"/>
      <c r="F504" s="278"/>
      <c r="G504" s="278"/>
      <c r="H504" s="278"/>
    </row>
    <row r="505" spans="4:8" ht="12.75" customHeight="1" x14ac:dyDescent="0.25">
      <c r="D505" s="281"/>
      <c r="E505" s="278"/>
      <c r="F505" s="278"/>
      <c r="G505" s="278"/>
      <c r="H505" s="278"/>
    </row>
    <row r="506" spans="4:8" ht="12.75" customHeight="1" x14ac:dyDescent="0.25">
      <c r="D506" s="281"/>
      <c r="E506" s="278"/>
      <c r="F506" s="278"/>
      <c r="G506" s="278"/>
      <c r="H506" s="278"/>
    </row>
    <row r="507" spans="4:8" ht="12.75" customHeight="1" x14ac:dyDescent="0.25">
      <c r="D507" s="281"/>
      <c r="E507" s="278"/>
      <c r="F507" s="278"/>
      <c r="G507" s="278"/>
      <c r="H507" s="278"/>
    </row>
    <row r="508" spans="4:8" ht="12.75" customHeight="1" x14ac:dyDescent="0.25">
      <c r="D508" s="281"/>
      <c r="E508" s="278"/>
      <c r="F508" s="278"/>
      <c r="G508" s="278"/>
      <c r="H508" s="278"/>
    </row>
    <row r="509" spans="4:8" ht="12.75" customHeight="1" x14ac:dyDescent="0.25">
      <c r="D509" s="281"/>
      <c r="E509" s="278"/>
      <c r="F509" s="278"/>
      <c r="G509" s="278"/>
      <c r="H509" s="278"/>
    </row>
    <row r="510" spans="4:8" ht="12.75" customHeight="1" x14ac:dyDescent="0.25">
      <c r="D510" s="281"/>
      <c r="E510" s="278"/>
      <c r="F510" s="278"/>
      <c r="G510" s="278"/>
      <c r="H510" s="278"/>
    </row>
    <row r="511" spans="4:8" ht="12.75" customHeight="1" x14ac:dyDescent="0.25">
      <c r="D511" s="281"/>
      <c r="E511" s="278"/>
      <c r="F511" s="278"/>
      <c r="G511" s="278"/>
      <c r="H511" s="278"/>
    </row>
    <row r="512" spans="4:8" ht="12.75" customHeight="1" x14ac:dyDescent="0.25">
      <c r="D512" s="281"/>
      <c r="E512" s="278"/>
      <c r="F512" s="278"/>
      <c r="G512" s="278"/>
      <c r="H512" s="278"/>
    </row>
    <row r="513" spans="4:8" ht="12.75" customHeight="1" x14ac:dyDescent="0.25">
      <c r="D513" s="281"/>
      <c r="E513" s="278"/>
      <c r="F513" s="278"/>
      <c r="G513" s="278"/>
      <c r="H513" s="278"/>
    </row>
    <row r="514" spans="4:8" ht="12.75" customHeight="1" x14ac:dyDescent="0.25">
      <c r="D514" s="281"/>
      <c r="E514" s="278"/>
      <c r="F514" s="278"/>
      <c r="G514" s="278"/>
      <c r="H514" s="278"/>
    </row>
    <row r="515" spans="4:8" ht="12.75" customHeight="1" x14ac:dyDescent="0.25">
      <c r="D515" s="281"/>
      <c r="E515" s="278"/>
      <c r="F515" s="278"/>
      <c r="G515" s="278"/>
      <c r="H515" s="278"/>
    </row>
    <row r="516" spans="4:8" ht="12.75" customHeight="1" x14ac:dyDescent="0.25">
      <c r="D516" s="281"/>
      <c r="E516" s="278"/>
      <c r="F516" s="278"/>
      <c r="G516" s="278"/>
      <c r="H516" s="278"/>
    </row>
    <row r="517" spans="4:8" ht="12.75" customHeight="1" x14ac:dyDescent="0.25">
      <c r="D517" s="281"/>
      <c r="E517" s="278"/>
      <c r="F517" s="278"/>
      <c r="G517" s="278"/>
      <c r="H517" s="278"/>
    </row>
    <row r="518" spans="4:8" ht="12.75" customHeight="1" x14ac:dyDescent="0.25">
      <c r="D518" s="281"/>
      <c r="E518" s="278"/>
      <c r="F518" s="278"/>
      <c r="G518" s="278"/>
      <c r="H518" s="278"/>
    </row>
    <row r="519" spans="4:8" ht="12.75" customHeight="1" x14ac:dyDescent="0.25">
      <c r="D519" s="281"/>
      <c r="E519" s="278"/>
      <c r="F519" s="278"/>
      <c r="G519" s="278"/>
      <c r="H519" s="278"/>
    </row>
    <row r="520" spans="4:8" ht="12.75" customHeight="1" x14ac:dyDescent="0.25">
      <c r="D520" s="281"/>
      <c r="E520" s="278"/>
      <c r="F520" s="278"/>
      <c r="G520" s="278"/>
      <c r="H520" s="278"/>
    </row>
    <row r="521" spans="4:8" ht="12.75" customHeight="1" x14ac:dyDescent="0.25">
      <c r="D521" s="281"/>
      <c r="E521" s="278"/>
      <c r="F521" s="278"/>
      <c r="G521" s="278"/>
      <c r="H521" s="278"/>
    </row>
    <row r="522" spans="4:8" ht="12.75" customHeight="1" x14ac:dyDescent="0.25">
      <c r="D522" s="281"/>
      <c r="E522" s="278"/>
      <c r="F522" s="278"/>
      <c r="G522" s="278"/>
      <c r="H522" s="278"/>
    </row>
    <row r="523" spans="4:8" ht="12.75" customHeight="1" x14ac:dyDescent="0.25">
      <c r="D523" s="281"/>
      <c r="E523" s="278"/>
      <c r="F523" s="278"/>
      <c r="G523" s="278"/>
      <c r="H523" s="278"/>
    </row>
    <row r="524" spans="4:8" ht="12.75" customHeight="1" x14ac:dyDescent="0.25">
      <c r="D524" s="281"/>
      <c r="E524" s="278"/>
      <c r="F524" s="278"/>
      <c r="G524" s="278"/>
      <c r="H524" s="278"/>
    </row>
    <row r="525" spans="4:8" ht="12.75" customHeight="1" x14ac:dyDescent="0.25">
      <c r="D525" s="281"/>
      <c r="E525" s="278"/>
      <c r="F525" s="278"/>
      <c r="G525" s="278"/>
      <c r="H525" s="278"/>
    </row>
    <row r="526" spans="4:8" ht="12.75" customHeight="1" x14ac:dyDescent="0.25">
      <c r="D526" s="281"/>
      <c r="E526" s="278"/>
      <c r="F526" s="278"/>
      <c r="G526" s="278"/>
      <c r="H526" s="278"/>
    </row>
    <row r="527" spans="4:8" ht="12.75" customHeight="1" x14ac:dyDescent="0.25">
      <c r="D527" s="281"/>
      <c r="E527" s="278"/>
      <c r="F527" s="278"/>
      <c r="G527" s="278"/>
      <c r="H527" s="278"/>
    </row>
    <row r="528" spans="4:8" ht="12.75" customHeight="1" x14ac:dyDescent="0.25">
      <c r="D528" s="281"/>
      <c r="E528" s="278"/>
      <c r="F528" s="278"/>
      <c r="G528" s="278"/>
      <c r="H528" s="278"/>
    </row>
    <row r="529" spans="4:8" ht="12.75" customHeight="1" x14ac:dyDescent="0.25">
      <c r="D529" s="281"/>
      <c r="E529" s="278"/>
      <c r="F529" s="278"/>
      <c r="G529" s="278"/>
      <c r="H529" s="278"/>
    </row>
    <row r="530" spans="4:8" ht="12.75" customHeight="1" x14ac:dyDescent="0.25">
      <c r="D530" s="281"/>
      <c r="E530" s="278"/>
      <c r="F530" s="278"/>
      <c r="G530" s="278"/>
      <c r="H530" s="278"/>
    </row>
    <row r="531" spans="4:8" ht="12.75" customHeight="1" x14ac:dyDescent="0.25">
      <c r="D531" s="281"/>
      <c r="E531" s="278"/>
      <c r="F531" s="278"/>
      <c r="G531" s="278"/>
      <c r="H531" s="278"/>
    </row>
    <row r="532" spans="4:8" ht="12.75" customHeight="1" x14ac:dyDescent="0.25">
      <c r="D532" s="281"/>
      <c r="E532" s="278"/>
      <c r="F532" s="278"/>
      <c r="G532" s="278"/>
      <c r="H532" s="278"/>
    </row>
    <row r="533" spans="4:8" ht="12.75" customHeight="1" x14ac:dyDescent="0.25">
      <c r="D533" s="281"/>
      <c r="E533" s="278"/>
      <c r="F533" s="278"/>
      <c r="G533" s="278"/>
      <c r="H533" s="278"/>
    </row>
    <row r="534" spans="4:8" ht="12.75" customHeight="1" x14ac:dyDescent="0.25">
      <c r="D534" s="281"/>
      <c r="E534" s="278"/>
      <c r="F534" s="278"/>
      <c r="G534" s="278"/>
      <c r="H534" s="278"/>
    </row>
    <row r="535" spans="4:8" ht="12.75" customHeight="1" x14ac:dyDescent="0.25">
      <c r="D535" s="281"/>
      <c r="E535" s="278"/>
      <c r="F535" s="278"/>
      <c r="G535" s="278"/>
      <c r="H535" s="278"/>
    </row>
    <row r="536" spans="4:8" ht="12.75" customHeight="1" x14ac:dyDescent="0.25">
      <c r="D536" s="281"/>
      <c r="E536" s="278"/>
      <c r="F536" s="278"/>
      <c r="G536" s="278"/>
      <c r="H536" s="278"/>
    </row>
    <row r="537" spans="4:8" ht="12.75" customHeight="1" x14ac:dyDescent="0.25">
      <c r="D537" s="281"/>
      <c r="E537" s="278"/>
      <c r="F537" s="278"/>
      <c r="G537" s="278"/>
      <c r="H537" s="278"/>
    </row>
    <row r="538" spans="4:8" ht="12.75" customHeight="1" x14ac:dyDescent="0.25">
      <c r="D538" s="281"/>
      <c r="E538" s="278"/>
      <c r="F538" s="278"/>
      <c r="G538" s="278"/>
      <c r="H538" s="278"/>
    </row>
    <row r="539" spans="4:8" ht="12.75" customHeight="1" x14ac:dyDescent="0.25">
      <c r="D539" s="281"/>
      <c r="E539" s="278"/>
      <c r="F539" s="278"/>
      <c r="G539" s="278"/>
      <c r="H539" s="278"/>
    </row>
    <row r="540" spans="4:8" ht="12.75" customHeight="1" x14ac:dyDescent="0.25">
      <c r="D540" s="281"/>
      <c r="E540" s="278"/>
      <c r="F540" s="278"/>
      <c r="G540" s="278"/>
      <c r="H540" s="278"/>
    </row>
    <row r="541" spans="4:8" ht="12.75" customHeight="1" x14ac:dyDescent="0.25">
      <c r="D541" s="281"/>
      <c r="E541" s="278"/>
      <c r="F541" s="278"/>
      <c r="G541" s="278"/>
      <c r="H541" s="278"/>
    </row>
    <row r="542" spans="4:8" ht="12.75" customHeight="1" x14ac:dyDescent="0.25">
      <c r="D542" s="281"/>
      <c r="E542" s="278"/>
      <c r="F542" s="278"/>
      <c r="G542" s="278"/>
      <c r="H542" s="278"/>
    </row>
    <row r="543" spans="4:8" ht="12.75" customHeight="1" x14ac:dyDescent="0.25">
      <c r="D543" s="281"/>
      <c r="E543" s="278"/>
      <c r="F543" s="278"/>
      <c r="G543" s="278"/>
      <c r="H543" s="278"/>
    </row>
    <row r="544" spans="4:8" ht="12.75" customHeight="1" x14ac:dyDescent="0.25">
      <c r="D544" s="281"/>
      <c r="E544" s="278"/>
      <c r="F544" s="278"/>
      <c r="G544" s="278"/>
      <c r="H544" s="278"/>
    </row>
    <row r="545" spans="4:8" ht="12.75" customHeight="1" x14ac:dyDescent="0.25">
      <c r="D545" s="281"/>
      <c r="E545" s="278"/>
      <c r="F545" s="278"/>
      <c r="G545" s="278"/>
      <c r="H545" s="278"/>
    </row>
    <row r="546" spans="4:8" ht="12.75" customHeight="1" x14ac:dyDescent="0.25">
      <c r="D546" s="281"/>
      <c r="E546" s="278"/>
      <c r="F546" s="278"/>
      <c r="G546" s="278"/>
      <c r="H546" s="278"/>
    </row>
    <row r="547" spans="4:8" ht="12.75" customHeight="1" x14ac:dyDescent="0.25">
      <c r="D547" s="281"/>
      <c r="E547" s="278"/>
      <c r="F547" s="278"/>
      <c r="G547" s="278"/>
      <c r="H547" s="278"/>
    </row>
    <row r="548" spans="4:8" ht="12.75" customHeight="1" x14ac:dyDescent="0.25">
      <c r="D548" s="281"/>
      <c r="E548" s="278"/>
      <c r="F548" s="278"/>
      <c r="G548" s="278"/>
      <c r="H548" s="278"/>
    </row>
    <row r="549" spans="4:8" ht="12.75" customHeight="1" x14ac:dyDescent="0.25">
      <c r="D549" s="281"/>
      <c r="E549" s="278"/>
      <c r="F549" s="278"/>
      <c r="G549" s="278"/>
      <c r="H549" s="278"/>
    </row>
    <row r="550" spans="4:8" ht="12.75" customHeight="1" x14ac:dyDescent="0.25">
      <c r="D550" s="281"/>
      <c r="E550" s="278"/>
      <c r="F550" s="278"/>
      <c r="G550" s="278"/>
      <c r="H550" s="278"/>
    </row>
    <row r="551" spans="4:8" ht="12.75" customHeight="1" x14ac:dyDescent="0.25">
      <c r="D551" s="281"/>
      <c r="E551" s="278"/>
      <c r="F551" s="278"/>
      <c r="G551" s="278"/>
      <c r="H551" s="278"/>
    </row>
    <row r="552" spans="4:8" ht="12.75" customHeight="1" x14ac:dyDescent="0.25">
      <c r="D552" s="281"/>
      <c r="E552" s="278"/>
      <c r="F552" s="278"/>
      <c r="G552" s="278"/>
      <c r="H552" s="278"/>
    </row>
    <row r="553" spans="4:8" ht="12.75" customHeight="1" x14ac:dyDescent="0.25">
      <c r="D553" s="281"/>
      <c r="E553" s="278"/>
      <c r="F553" s="278"/>
      <c r="G553" s="278"/>
      <c r="H553" s="278"/>
    </row>
    <row r="554" spans="4:8" ht="12.75" customHeight="1" x14ac:dyDescent="0.25">
      <c r="D554" s="281"/>
      <c r="E554" s="278"/>
      <c r="F554" s="278"/>
      <c r="G554" s="278"/>
      <c r="H554" s="278"/>
    </row>
    <row r="555" spans="4:8" ht="12.75" customHeight="1" x14ac:dyDescent="0.25">
      <c r="D555" s="281"/>
      <c r="E555" s="278"/>
      <c r="F555" s="278"/>
      <c r="G555" s="278"/>
      <c r="H555" s="278"/>
    </row>
    <row r="556" spans="4:8" ht="12.75" customHeight="1" x14ac:dyDescent="0.25">
      <c r="D556" s="281"/>
      <c r="E556" s="278"/>
      <c r="F556" s="278"/>
      <c r="G556" s="278"/>
      <c r="H556" s="278"/>
    </row>
    <row r="557" spans="4:8" ht="12.75" customHeight="1" x14ac:dyDescent="0.25">
      <c r="D557" s="281"/>
      <c r="E557" s="278"/>
      <c r="F557" s="278"/>
      <c r="G557" s="278"/>
      <c r="H557" s="278"/>
    </row>
    <row r="558" spans="4:8" ht="12.75" customHeight="1" x14ac:dyDescent="0.25">
      <c r="D558" s="281"/>
      <c r="E558" s="278"/>
      <c r="F558" s="278"/>
      <c r="G558" s="278"/>
      <c r="H558" s="278"/>
    </row>
    <row r="559" spans="4:8" ht="12.75" customHeight="1" x14ac:dyDescent="0.25">
      <c r="D559" s="281"/>
      <c r="E559" s="278"/>
      <c r="F559" s="278"/>
      <c r="G559" s="278"/>
      <c r="H559" s="278"/>
    </row>
    <row r="560" spans="4:8" ht="12.75" customHeight="1" x14ac:dyDescent="0.25">
      <c r="D560" s="281"/>
      <c r="E560" s="278"/>
      <c r="F560" s="278"/>
      <c r="G560" s="278"/>
      <c r="H560" s="278"/>
    </row>
    <row r="561" spans="4:8" ht="12.75" customHeight="1" x14ac:dyDescent="0.25">
      <c r="D561" s="281"/>
      <c r="E561" s="278"/>
      <c r="F561" s="278"/>
      <c r="G561" s="278"/>
      <c r="H561" s="278"/>
    </row>
    <row r="562" spans="4:8" ht="12.75" customHeight="1" x14ac:dyDescent="0.25">
      <c r="D562" s="281"/>
      <c r="E562" s="278"/>
      <c r="F562" s="278"/>
      <c r="G562" s="278"/>
      <c r="H562" s="278"/>
    </row>
    <row r="563" spans="4:8" ht="12.75" customHeight="1" x14ac:dyDescent="0.25">
      <c r="D563" s="281"/>
      <c r="E563" s="278"/>
      <c r="F563" s="278"/>
      <c r="G563" s="278"/>
      <c r="H563" s="278"/>
    </row>
    <row r="564" spans="4:8" ht="12.75" customHeight="1" x14ac:dyDescent="0.25">
      <c r="D564" s="281"/>
      <c r="E564" s="278"/>
      <c r="F564" s="278"/>
      <c r="G564" s="278"/>
      <c r="H564" s="278"/>
    </row>
    <row r="565" spans="4:8" ht="12.75" customHeight="1" x14ac:dyDescent="0.25">
      <c r="D565" s="281"/>
      <c r="E565" s="278"/>
      <c r="F565" s="278"/>
      <c r="G565" s="278"/>
      <c r="H565" s="278"/>
    </row>
    <row r="566" spans="4:8" ht="12.75" customHeight="1" x14ac:dyDescent="0.25">
      <c r="D566" s="281"/>
      <c r="E566" s="278"/>
      <c r="F566" s="278"/>
      <c r="G566" s="278"/>
      <c r="H566" s="278"/>
    </row>
    <row r="567" spans="4:8" ht="12.75" customHeight="1" x14ac:dyDescent="0.25">
      <c r="D567" s="281"/>
      <c r="E567" s="278"/>
      <c r="F567" s="278"/>
      <c r="G567" s="278"/>
      <c r="H567" s="278"/>
    </row>
    <row r="568" spans="4:8" ht="12.75" customHeight="1" x14ac:dyDescent="0.25">
      <c r="D568" s="281"/>
      <c r="E568" s="278"/>
      <c r="F568" s="278"/>
      <c r="G568" s="278"/>
      <c r="H568" s="278"/>
    </row>
    <row r="569" spans="4:8" ht="12.75" customHeight="1" x14ac:dyDescent="0.25">
      <c r="D569" s="281"/>
      <c r="E569" s="278"/>
      <c r="F569" s="278"/>
      <c r="G569" s="278"/>
      <c r="H569" s="278"/>
    </row>
    <row r="570" spans="4:8" ht="12.75" customHeight="1" x14ac:dyDescent="0.25">
      <c r="D570" s="281"/>
      <c r="E570" s="278"/>
      <c r="F570" s="278"/>
      <c r="G570" s="278"/>
      <c r="H570" s="278"/>
    </row>
    <row r="571" spans="4:8" ht="12.75" customHeight="1" x14ac:dyDescent="0.25">
      <c r="D571" s="281"/>
      <c r="E571" s="278"/>
      <c r="F571" s="278"/>
      <c r="G571" s="278"/>
      <c r="H571" s="278"/>
    </row>
    <row r="572" spans="4:8" ht="12.75" customHeight="1" x14ac:dyDescent="0.25">
      <c r="D572" s="281"/>
      <c r="E572" s="278"/>
      <c r="F572" s="278"/>
      <c r="G572" s="278"/>
      <c r="H572" s="278"/>
    </row>
    <row r="573" spans="4:8" ht="12.75" customHeight="1" x14ac:dyDescent="0.25">
      <c r="D573" s="281"/>
      <c r="E573" s="278"/>
      <c r="F573" s="278"/>
      <c r="G573" s="278"/>
      <c r="H573" s="278"/>
    </row>
    <row r="574" spans="4:8" ht="12.75" customHeight="1" x14ac:dyDescent="0.25">
      <c r="D574" s="281"/>
      <c r="E574" s="278"/>
      <c r="F574" s="278"/>
      <c r="G574" s="278"/>
      <c r="H574" s="278"/>
    </row>
    <row r="575" spans="4:8" ht="12.75" customHeight="1" x14ac:dyDescent="0.25">
      <c r="D575" s="281"/>
      <c r="E575" s="278"/>
      <c r="F575" s="278"/>
      <c r="G575" s="278"/>
      <c r="H575" s="278"/>
    </row>
    <row r="576" spans="4:8" ht="12.75" customHeight="1" x14ac:dyDescent="0.25">
      <c r="D576" s="281"/>
      <c r="E576" s="278"/>
      <c r="F576" s="278"/>
      <c r="G576" s="278"/>
      <c r="H576" s="278"/>
    </row>
    <row r="577" spans="4:8" ht="12.75" customHeight="1" x14ac:dyDescent="0.25">
      <c r="D577" s="281"/>
      <c r="E577" s="278"/>
      <c r="F577" s="278"/>
      <c r="G577" s="278"/>
      <c r="H577" s="278"/>
    </row>
    <row r="578" spans="4:8" ht="12.75" customHeight="1" x14ac:dyDescent="0.25">
      <c r="D578" s="281"/>
      <c r="E578" s="278"/>
      <c r="F578" s="278"/>
      <c r="G578" s="278"/>
      <c r="H578" s="278"/>
    </row>
    <row r="579" spans="4:8" ht="12.75" customHeight="1" x14ac:dyDescent="0.25">
      <c r="D579" s="281"/>
      <c r="E579" s="278"/>
      <c r="F579" s="278"/>
      <c r="G579" s="278"/>
      <c r="H579" s="278"/>
    </row>
    <row r="580" spans="4:8" ht="12.75" customHeight="1" x14ac:dyDescent="0.25">
      <c r="D580" s="281"/>
      <c r="E580" s="278"/>
      <c r="F580" s="278"/>
      <c r="G580" s="278"/>
      <c r="H580" s="278"/>
    </row>
    <row r="581" spans="4:8" ht="12.75" customHeight="1" x14ac:dyDescent="0.25">
      <c r="D581" s="281"/>
      <c r="E581" s="278"/>
      <c r="F581" s="278"/>
      <c r="G581" s="278"/>
      <c r="H581" s="278"/>
    </row>
    <row r="582" spans="4:8" ht="12.75" customHeight="1" x14ac:dyDescent="0.25">
      <c r="D582" s="281"/>
      <c r="E582" s="278"/>
      <c r="F582" s="278"/>
      <c r="G582" s="278"/>
      <c r="H582" s="278"/>
    </row>
    <row r="583" spans="4:8" ht="12.75" customHeight="1" x14ac:dyDescent="0.25">
      <c r="D583" s="281"/>
      <c r="E583" s="278"/>
      <c r="F583" s="278"/>
      <c r="G583" s="278"/>
      <c r="H583" s="278"/>
    </row>
    <row r="584" spans="4:8" ht="12.75" customHeight="1" x14ac:dyDescent="0.25">
      <c r="D584" s="281"/>
      <c r="E584" s="278"/>
      <c r="F584" s="278"/>
      <c r="G584" s="278"/>
      <c r="H584" s="278"/>
    </row>
    <row r="585" spans="4:8" ht="12.75" customHeight="1" x14ac:dyDescent="0.25">
      <c r="D585" s="281"/>
      <c r="E585" s="278"/>
      <c r="F585" s="278"/>
      <c r="G585" s="278"/>
      <c r="H585" s="278"/>
    </row>
    <row r="586" spans="4:8" ht="12.75" customHeight="1" x14ac:dyDescent="0.25">
      <c r="D586" s="281"/>
      <c r="E586" s="278"/>
      <c r="F586" s="278"/>
      <c r="G586" s="278"/>
      <c r="H586" s="278"/>
    </row>
    <row r="587" spans="4:8" ht="12.75" customHeight="1" x14ac:dyDescent="0.25">
      <c r="D587" s="281"/>
      <c r="E587" s="278"/>
      <c r="F587" s="278"/>
      <c r="G587" s="278"/>
      <c r="H587" s="278"/>
    </row>
    <row r="588" spans="4:8" ht="12.75" customHeight="1" x14ac:dyDescent="0.25">
      <c r="D588" s="281"/>
      <c r="E588" s="278"/>
      <c r="F588" s="278"/>
      <c r="G588" s="278"/>
      <c r="H588" s="278"/>
    </row>
    <row r="589" spans="4:8" ht="12.75" customHeight="1" x14ac:dyDescent="0.25">
      <c r="D589" s="281"/>
      <c r="E589" s="278"/>
      <c r="F589" s="278"/>
      <c r="G589" s="278"/>
      <c r="H589" s="278"/>
    </row>
    <row r="590" spans="4:8" ht="12.75" customHeight="1" x14ac:dyDescent="0.25">
      <c r="D590" s="281"/>
      <c r="E590" s="278"/>
      <c r="F590" s="278"/>
      <c r="G590" s="278"/>
      <c r="H590" s="278"/>
    </row>
    <row r="591" spans="4:8" ht="12.75" customHeight="1" x14ac:dyDescent="0.25">
      <c r="D591" s="281"/>
      <c r="E591" s="278"/>
      <c r="F591" s="278"/>
      <c r="G591" s="278"/>
      <c r="H591" s="278"/>
    </row>
    <row r="592" spans="4:8" ht="12.75" customHeight="1" x14ac:dyDescent="0.25">
      <c r="D592" s="281"/>
      <c r="E592" s="278"/>
      <c r="F592" s="278"/>
      <c r="G592" s="278"/>
      <c r="H592" s="278"/>
    </row>
    <row r="593" spans="4:8" ht="12.75" customHeight="1" x14ac:dyDescent="0.25">
      <c r="D593" s="281"/>
      <c r="E593" s="278"/>
      <c r="F593" s="278"/>
      <c r="G593" s="278"/>
      <c r="H593" s="278"/>
    </row>
    <row r="594" spans="4:8" ht="12.75" customHeight="1" x14ac:dyDescent="0.25">
      <c r="D594" s="281"/>
      <c r="E594" s="278"/>
      <c r="F594" s="278"/>
      <c r="G594" s="278"/>
      <c r="H594" s="278"/>
    </row>
    <row r="595" spans="4:8" ht="12.75" customHeight="1" x14ac:dyDescent="0.25">
      <c r="D595" s="281"/>
      <c r="E595" s="278"/>
      <c r="F595" s="278"/>
      <c r="G595" s="278"/>
      <c r="H595" s="278"/>
    </row>
    <row r="596" spans="4:8" ht="12.75" customHeight="1" x14ac:dyDescent="0.25">
      <c r="D596" s="281"/>
      <c r="E596" s="278"/>
      <c r="F596" s="278"/>
      <c r="G596" s="278"/>
      <c r="H596" s="278"/>
    </row>
    <row r="597" spans="4:8" ht="12.75" customHeight="1" x14ac:dyDescent="0.25">
      <c r="D597" s="281"/>
      <c r="E597" s="278"/>
      <c r="F597" s="278"/>
      <c r="G597" s="278"/>
      <c r="H597" s="278"/>
    </row>
    <row r="598" spans="4:8" ht="12.75" customHeight="1" x14ac:dyDescent="0.25">
      <c r="D598" s="281"/>
      <c r="E598" s="278"/>
      <c r="F598" s="278"/>
      <c r="G598" s="278"/>
      <c r="H598" s="278"/>
    </row>
    <row r="599" spans="4:8" ht="12.75" customHeight="1" x14ac:dyDescent="0.25">
      <c r="D599" s="281"/>
      <c r="E599" s="278"/>
      <c r="F599" s="278"/>
      <c r="G599" s="278"/>
      <c r="H599" s="278"/>
    </row>
    <row r="600" spans="4:8" ht="12.75" customHeight="1" x14ac:dyDescent="0.25">
      <c r="D600" s="281"/>
      <c r="E600" s="278"/>
      <c r="F600" s="278"/>
      <c r="G600" s="278"/>
      <c r="H600" s="278"/>
    </row>
    <row r="601" spans="4:8" ht="12.75" customHeight="1" x14ac:dyDescent="0.25">
      <c r="D601" s="281"/>
      <c r="E601" s="278"/>
      <c r="F601" s="278"/>
      <c r="G601" s="278"/>
      <c r="H601" s="278"/>
    </row>
    <row r="602" spans="4:8" ht="12.75" customHeight="1" x14ac:dyDescent="0.25">
      <c r="D602" s="281"/>
      <c r="E602" s="278"/>
      <c r="F602" s="278"/>
      <c r="G602" s="278"/>
      <c r="H602" s="278"/>
    </row>
    <row r="603" spans="4:8" ht="12.75" customHeight="1" x14ac:dyDescent="0.25">
      <c r="D603" s="281"/>
      <c r="E603" s="278"/>
      <c r="F603" s="278"/>
      <c r="G603" s="278"/>
      <c r="H603" s="278"/>
    </row>
    <row r="604" spans="4:8" ht="12.75" customHeight="1" x14ac:dyDescent="0.25">
      <c r="D604" s="281"/>
      <c r="E604" s="278"/>
      <c r="F604" s="278"/>
      <c r="G604" s="278"/>
      <c r="H604" s="278"/>
    </row>
    <row r="605" spans="4:8" ht="12.75" customHeight="1" x14ac:dyDescent="0.25">
      <c r="D605" s="281"/>
      <c r="E605" s="278"/>
      <c r="F605" s="278"/>
      <c r="G605" s="278"/>
      <c r="H605" s="278"/>
    </row>
    <row r="606" spans="4:8" ht="12.75" customHeight="1" x14ac:dyDescent="0.25">
      <c r="D606" s="281"/>
      <c r="E606" s="278"/>
      <c r="F606" s="278"/>
      <c r="G606" s="278"/>
      <c r="H606" s="278"/>
    </row>
    <row r="607" spans="4:8" ht="12.75" customHeight="1" x14ac:dyDescent="0.25">
      <c r="D607" s="281"/>
      <c r="E607" s="278"/>
      <c r="F607" s="278"/>
      <c r="G607" s="278"/>
      <c r="H607" s="278"/>
    </row>
    <row r="608" spans="4:8" ht="12.75" customHeight="1" x14ac:dyDescent="0.25">
      <c r="D608" s="281"/>
      <c r="E608" s="278"/>
      <c r="F608" s="278"/>
      <c r="G608" s="278"/>
      <c r="H608" s="278"/>
    </row>
    <row r="609" spans="4:8" ht="12.75" customHeight="1" x14ac:dyDescent="0.25">
      <c r="D609" s="281"/>
      <c r="E609" s="278"/>
      <c r="F609" s="278"/>
      <c r="G609" s="278"/>
      <c r="H609" s="278"/>
    </row>
    <row r="610" spans="4:8" ht="12.75" customHeight="1" x14ac:dyDescent="0.25">
      <c r="D610" s="281"/>
      <c r="E610" s="278"/>
      <c r="F610" s="278"/>
      <c r="G610" s="278"/>
      <c r="H610" s="278"/>
    </row>
    <row r="611" spans="4:8" ht="12.75" customHeight="1" x14ac:dyDescent="0.25">
      <c r="D611" s="281"/>
      <c r="E611" s="278"/>
      <c r="F611" s="278"/>
      <c r="G611" s="278"/>
      <c r="H611" s="278"/>
    </row>
    <row r="612" spans="4:8" ht="12.75" customHeight="1" x14ac:dyDescent="0.25">
      <c r="D612" s="281"/>
      <c r="E612" s="278"/>
      <c r="F612" s="278"/>
      <c r="G612" s="278"/>
      <c r="H612" s="278"/>
    </row>
    <row r="613" spans="4:8" ht="12.75" customHeight="1" x14ac:dyDescent="0.25">
      <c r="D613" s="281"/>
      <c r="E613" s="278"/>
      <c r="F613" s="278"/>
      <c r="G613" s="278"/>
      <c r="H613" s="278"/>
    </row>
    <row r="614" spans="4:8" ht="12.75" customHeight="1" x14ac:dyDescent="0.25">
      <c r="D614" s="281"/>
      <c r="E614" s="278"/>
      <c r="F614" s="278"/>
      <c r="G614" s="278"/>
      <c r="H614" s="278"/>
    </row>
    <row r="615" spans="4:8" ht="12.75" customHeight="1" x14ac:dyDescent="0.25">
      <c r="D615" s="281"/>
      <c r="E615" s="278"/>
      <c r="F615" s="278"/>
      <c r="G615" s="278"/>
      <c r="H615" s="278"/>
    </row>
    <row r="616" spans="4:8" ht="12.75" customHeight="1" x14ac:dyDescent="0.25">
      <c r="D616" s="281"/>
      <c r="E616" s="278"/>
      <c r="F616" s="278"/>
      <c r="G616" s="278"/>
      <c r="H616" s="278"/>
    </row>
    <row r="617" spans="4:8" ht="12.75" customHeight="1" x14ac:dyDescent="0.25">
      <c r="D617" s="281"/>
      <c r="E617" s="278"/>
      <c r="F617" s="278"/>
      <c r="G617" s="278"/>
      <c r="H617" s="278"/>
    </row>
    <row r="618" spans="4:8" ht="12.75" customHeight="1" x14ac:dyDescent="0.25">
      <c r="D618" s="281"/>
      <c r="E618" s="278"/>
      <c r="F618" s="278"/>
      <c r="G618" s="278"/>
      <c r="H618" s="278"/>
    </row>
    <row r="619" spans="4:8" ht="12.75" customHeight="1" x14ac:dyDescent="0.25">
      <c r="D619" s="281"/>
      <c r="E619" s="278"/>
      <c r="F619" s="278"/>
      <c r="G619" s="278"/>
      <c r="H619" s="278"/>
    </row>
    <row r="620" spans="4:8" ht="12.75" customHeight="1" x14ac:dyDescent="0.25">
      <c r="D620" s="281"/>
      <c r="E620" s="278"/>
      <c r="F620" s="278"/>
      <c r="G620" s="278"/>
      <c r="H620" s="278"/>
    </row>
    <row r="621" spans="4:8" ht="12.75" customHeight="1" x14ac:dyDescent="0.25">
      <c r="D621" s="281"/>
      <c r="E621" s="278"/>
      <c r="F621" s="278"/>
      <c r="G621" s="278"/>
      <c r="H621" s="278"/>
    </row>
    <row r="622" spans="4:8" ht="12.75" customHeight="1" x14ac:dyDescent="0.25">
      <c r="D622" s="281"/>
      <c r="E622" s="278"/>
      <c r="F622" s="278"/>
      <c r="G622" s="278"/>
      <c r="H622" s="278"/>
    </row>
    <row r="623" spans="4:8" ht="12.75" customHeight="1" x14ac:dyDescent="0.25">
      <c r="D623" s="281"/>
      <c r="E623" s="278"/>
      <c r="F623" s="278"/>
      <c r="G623" s="278"/>
      <c r="H623" s="278"/>
    </row>
    <row r="624" spans="4:8" ht="12.75" customHeight="1" x14ac:dyDescent="0.25">
      <c r="D624" s="281"/>
      <c r="E624" s="278"/>
      <c r="F624" s="278"/>
      <c r="G624" s="278"/>
      <c r="H624" s="278"/>
    </row>
    <row r="625" spans="4:8" ht="12.75" customHeight="1" x14ac:dyDescent="0.25">
      <c r="D625" s="281"/>
      <c r="E625" s="278"/>
      <c r="F625" s="278"/>
      <c r="G625" s="278"/>
      <c r="H625" s="278"/>
    </row>
    <row r="626" spans="4:8" ht="12.75" customHeight="1" x14ac:dyDescent="0.25">
      <c r="D626" s="281"/>
      <c r="E626" s="278"/>
      <c r="F626" s="278"/>
      <c r="G626" s="278"/>
      <c r="H626" s="278"/>
    </row>
    <row r="627" spans="4:8" ht="12.75" customHeight="1" x14ac:dyDescent="0.25">
      <c r="D627" s="281"/>
      <c r="E627" s="278"/>
      <c r="F627" s="278"/>
      <c r="G627" s="278"/>
      <c r="H627" s="278"/>
    </row>
    <row r="628" spans="4:8" ht="12.75" customHeight="1" x14ac:dyDescent="0.25">
      <c r="D628" s="281"/>
      <c r="E628" s="278"/>
      <c r="F628" s="278"/>
      <c r="G628" s="278"/>
      <c r="H628" s="278"/>
    </row>
    <row r="629" spans="4:8" ht="12.75" customHeight="1" x14ac:dyDescent="0.25">
      <c r="D629" s="281"/>
      <c r="E629" s="278"/>
      <c r="F629" s="278"/>
      <c r="G629" s="278"/>
      <c r="H629" s="278"/>
    </row>
    <row r="630" spans="4:8" ht="12.75" customHeight="1" x14ac:dyDescent="0.25">
      <c r="D630" s="281"/>
      <c r="E630" s="278"/>
      <c r="F630" s="278"/>
      <c r="G630" s="278"/>
      <c r="H630" s="278"/>
    </row>
    <row r="631" spans="4:8" ht="12.75" customHeight="1" x14ac:dyDescent="0.25">
      <c r="D631" s="281"/>
      <c r="E631" s="278"/>
      <c r="F631" s="278"/>
      <c r="G631" s="278"/>
      <c r="H631" s="278"/>
    </row>
    <row r="632" spans="4:8" ht="12.75" customHeight="1" x14ac:dyDescent="0.25">
      <c r="D632" s="281"/>
      <c r="E632" s="278"/>
      <c r="F632" s="278"/>
      <c r="G632" s="278"/>
      <c r="H632" s="278"/>
    </row>
    <row r="633" spans="4:8" ht="12.75" customHeight="1" x14ac:dyDescent="0.25">
      <c r="D633" s="281"/>
      <c r="E633" s="278"/>
      <c r="F633" s="278"/>
      <c r="G633" s="278"/>
      <c r="H633" s="278"/>
    </row>
    <row r="634" spans="4:8" ht="12.75" customHeight="1" x14ac:dyDescent="0.25">
      <c r="D634" s="281"/>
      <c r="E634" s="278"/>
      <c r="F634" s="278"/>
      <c r="G634" s="278"/>
      <c r="H634" s="278"/>
    </row>
    <row r="635" spans="4:8" ht="12.75" customHeight="1" x14ac:dyDescent="0.25">
      <c r="D635" s="281"/>
      <c r="E635" s="278"/>
      <c r="F635" s="278"/>
      <c r="G635" s="278"/>
      <c r="H635" s="278"/>
    </row>
    <row r="636" spans="4:8" ht="12.75" customHeight="1" x14ac:dyDescent="0.25">
      <c r="D636" s="281"/>
      <c r="E636" s="278"/>
      <c r="F636" s="278"/>
      <c r="G636" s="278"/>
      <c r="H636" s="278"/>
    </row>
    <row r="637" spans="4:8" ht="12.75" customHeight="1" x14ac:dyDescent="0.25">
      <c r="D637" s="281"/>
      <c r="E637" s="278"/>
      <c r="F637" s="278"/>
      <c r="G637" s="278"/>
      <c r="H637" s="278"/>
    </row>
    <row r="638" spans="4:8" ht="12.75" customHeight="1" x14ac:dyDescent="0.25">
      <c r="D638" s="281"/>
      <c r="E638" s="278"/>
      <c r="F638" s="278"/>
      <c r="G638" s="278"/>
      <c r="H638" s="278"/>
    </row>
    <row r="639" spans="4:8" ht="12.75" customHeight="1" x14ac:dyDescent="0.25">
      <c r="D639" s="281"/>
      <c r="E639" s="278"/>
      <c r="F639" s="278"/>
      <c r="G639" s="278"/>
      <c r="H639" s="278"/>
    </row>
    <row r="640" spans="4:8" ht="12.75" customHeight="1" x14ac:dyDescent="0.25">
      <c r="D640" s="281"/>
      <c r="E640" s="278"/>
      <c r="F640" s="278"/>
      <c r="G640" s="278"/>
      <c r="H640" s="278"/>
    </row>
    <row r="641" spans="4:8" ht="12.75" customHeight="1" x14ac:dyDescent="0.25">
      <c r="D641" s="281"/>
      <c r="E641" s="278"/>
      <c r="F641" s="278"/>
      <c r="G641" s="278"/>
      <c r="H641" s="278"/>
    </row>
    <row r="642" spans="4:8" ht="12.75" customHeight="1" x14ac:dyDescent="0.25">
      <c r="D642" s="281"/>
      <c r="E642" s="278"/>
      <c r="F642" s="278"/>
      <c r="G642" s="278"/>
      <c r="H642" s="278"/>
    </row>
    <row r="643" spans="4:8" ht="12.75" customHeight="1" x14ac:dyDescent="0.25">
      <c r="D643" s="281"/>
      <c r="E643" s="278"/>
      <c r="F643" s="278"/>
      <c r="G643" s="278"/>
      <c r="H643" s="278"/>
    </row>
    <row r="644" spans="4:8" ht="12.75" customHeight="1" x14ac:dyDescent="0.25">
      <c r="D644" s="281"/>
      <c r="E644" s="278"/>
      <c r="F644" s="278"/>
      <c r="G644" s="278"/>
      <c r="H644" s="278"/>
    </row>
    <row r="645" spans="4:8" ht="12.75" customHeight="1" x14ac:dyDescent="0.25">
      <c r="D645" s="281"/>
      <c r="E645" s="278"/>
      <c r="F645" s="278"/>
      <c r="G645" s="278"/>
      <c r="H645" s="278"/>
    </row>
    <row r="646" spans="4:8" ht="12.75" customHeight="1" x14ac:dyDescent="0.25">
      <c r="D646" s="281"/>
      <c r="E646" s="278"/>
      <c r="F646" s="278"/>
      <c r="G646" s="278"/>
      <c r="H646" s="278"/>
    </row>
    <row r="647" spans="4:8" ht="12.75" customHeight="1" x14ac:dyDescent="0.25">
      <c r="D647" s="281"/>
      <c r="E647" s="278"/>
      <c r="F647" s="278"/>
      <c r="G647" s="278"/>
      <c r="H647" s="278"/>
    </row>
    <row r="648" spans="4:8" ht="12.75" customHeight="1" x14ac:dyDescent="0.25">
      <c r="D648" s="281"/>
      <c r="E648" s="278"/>
      <c r="F648" s="278"/>
      <c r="G648" s="278"/>
      <c r="H648" s="278"/>
    </row>
    <row r="649" spans="4:8" ht="12.75" customHeight="1" x14ac:dyDescent="0.25">
      <c r="D649" s="281"/>
      <c r="E649" s="278"/>
      <c r="F649" s="278"/>
      <c r="G649" s="278"/>
      <c r="H649" s="278"/>
    </row>
    <row r="650" spans="4:8" ht="12.75" customHeight="1" x14ac:dyDescent="0.25">
      <c r="D650" s="281"/>
      <c r="E650" s="278"/>
      <c r="F650" s="278"/>
      <c r="G650" s="278"/>
      <c r="H650" s="278"/>
    </row>
    <row r="651" spans="4:8" ht="12.75" customHeight="1" x14ac:dyDescent="0.25">
      <c r="D651" s="281"/>
      <c r="E651" s="278"/>
      <c r="F651" s="278"/>
      <c r="G651" s="278"/>
      <c r="H651" s="278"/>
    </row>
    <row r="652" spans="4:8" ht="12.75" customHeight="1" x14ac:dyDescent="0.25">
      <c r="D652" s="281"/>
      <c r="E652" s="278"/>
      <c r="F652" s="278"/>
      <c r="G652" s="278"/>
      <c r="H652" s="278"/>
    </row>
    <row r="653" spans="4:8" ht="12.75" customHeight="1" x14ac:dyDescent="0.25">
      <c r="D653" s="281"/>
      <c r="E653" s="278"/>
      <c r="F653" s="278"/>
      <c r="G653" s="278"/>
      <c r="H653" s="278"/>
    </row>
    <row r="654" spans="4:8" ht="12.75" customHeight="1" x14ac:dyDescent="0.25">
      <c r="D654" s="281"/>
      <c r="E654" s="278"/>
      <c r="F654" s="278"/>
      <c r="G654" s="278"/>
      <c r="H654" s="278"/>
    </row>
    <row r="655" spans="4:8" ht="12.75" customHeight="1" x14ac:dyDescent="0.25">
      <c r="D655" s="281"/>
      <c r="E655" s="278"/>
      <c r="F655" s="278"/>
      <c r="G655" s="278"/>
      <c r="H655" s="278"/>
    </row>
    <row r="656" spans="4:8" ht="12.75" customHeight="1" x14ac:dyDescent="0.25">
      <c r="D656" s="281"/>
      <c r="E656" s="278"/>
      <c r="F656" s="278"/>
      <c r="G656" s="278"/>
      <c r="H656" s="278"/>
    </row>
    <row r="657" spans="4:8" ht="12.75" customHeight="1" x14ac:dyDescent="0.25">
      <c r="D657" s="281"/>
      <c r="E657" s="278"/>
      <c r="F657" s="278"/>
      <c r="G657" s="278"/>
      <c r="H657" s="278"/>
    </row>
    <row r="658" spans="4:8" ht="12.75" customHeight="1" x14ac:dyDescent="0.25">
      <c r="D658" s="281"/>
      <c r="E658" s="278"/>
      <c r="F658" s="278"/>
      <c r="G658" s="278"/>
      <c r="H658" s="278"/>
    </row>
    <row r="659" spans="4:8" ht="12.75" customHeight="1" x14ac:dyDescent="0.25">
      <c r="D659" s="281"/>
      <c r="E659" s="278"/>
      <c r="F659" s="278"/>
      <c r="G659" s="278"/>
      <c r="H659" s="278"/>
    </row>
    <row r="660" spans="4:8" ht="12.75" customHeight="1" x14ac:dyDescent="0.25">
      <c r="D660" s="281"/>
      <c r="E660" s="278"/>
      <c r="F660" s="278"/>
      <c r="G660" s="278"/>
      <c r="H660" s="278"/>
    </row>
    <row r="661" spans="4:8" ht="12.75" customHeight="1" x14ac:dyDescent="0.25">
      <c r="D661" s="281"/>
      <c r="E661" s="278"/>
      <c r="F661" s="278"/>
      <c r="G661" s="278"/>
      <c r="H661" s="278"/>
    </row>
    <row r="662" spans="4:8" ht="12.75" customHeight="1" x14ac:dyDescent="0.25">
      <c r="D662" s="281"/>
      <c r="E662" s="278"/>
      <c r="F662" s="278"/>
      <c r="G662" s="278"/>
      <c r="H662" s="278"/>
    </row>
    <row r="663" spans="4:8" ht="12.75" customHeight="1" x14ac:dyDescent="0.25">
      <c r="D663" s="281"/>
      <c r="E663" s="278"/>
      <c r="F663" s="278"/>
      <c r="G663" s="278"/>
      <c r="H663" s="278"/>
    </row>
    <row r="664" spans="4:8" ht="12.75" customHeight="1" x14ac:dyDescent="0.25">
      <c r="D664" s="281"/>
      <c r="E664" s="278"/>
      <c r="F664" s="278"/>
      <c r="G664" s="278"/>
      <c r="H664" s="278"/>
    </row>
    <row r="665" spans="4:8" ht="12.75" customHeight="1" x14ac:dyDescent="0.25">
      <c r="D665" s="281"/>
      <c r="E665" s="278"/>
      <c r="F665" s="278"/>
      <c r="G665" s="278"/>
      <c r="H665" s="278"/>
    </row>
    <row r="666" spans="4:8" ht="12.75" customHeight="1" x14ac:dyDescent="0.25">
      <c r="D666" s="281"/>
      <c r="E666" s="278"/>
      <c r="F666" s="278"/>
      <c r="G666" s="278"/>
      <c r="H666" s="278"/>
    </row>
    <row r="667" spans="4:8" ht="12.75" customHeight="1" x14ac:dyDescent="0.25">
      <c r="D667" s="281"/>
      <c r="E667" s="278"/>
      <c r="F667" s="278"/>
      <c r="G667" s="278"/>
      <c r="H667" s="278"/>
    </row>
    <row r="668" spans="4:8" ht="12.75" customHeight="1" x14ac:dyDescent="0.25">
      <c r="D668" s="281"/>
      <c r="E668" s="278"/>
      <c r="F668" s="278"/>
      <c r="G668" s="278"/>
      <c r="H668" s="278"/>
    </row>
    <row r="669" spans="4:8" ht="12.75" customHeight="1" x14ac:dyDescent="0.25">
      <c r="D669" s="281"/>
      <c r="E669" s="278"/>
      <c r="F669" s="278"/>
      <c r="G669" s="278"/>
      <c r="H669" s="278"/>
    </row>
    <row r="670" spans="4:8" ht="12.75" customHeight="1" x14ac:dyDescent="0.25">
      <c r="D670" s="281"/>
      <c r="E670" s="278"/>
      <c r="F670" s="278"/>
      <c r="G670" s="278"/>
      <c r="H670" s="278"/>
    </row>
    <row r="671" spans="4:8" ht="12.75" customHeight="1" x14ac:dyDescent="0.25">
      <c r="D671" s="281"/>
      <c r="E671" s="278"/>
      <c r="F671" s="278"/>
      <c r="G671" s="278"/>
      <c r="H671" s="278"/>
    </row>
    <row r="672" spans="4:8" ht="12.75" customHeight="1" x14ac:dyDescent="0.25">
      <c r="D672" s="281"/>
      <c r="E672" s="278"/>
      <c r="F672" s="278"/>
      <c r="G672" s="278"/>
      <c r="H672" s="278"/>
    </row>
    <row r="673" spans="4:8" ht="12.75" customHeight="1" x14ac:dyDescent="0.25">
      <c r="D673" s="281"/>
      <c r="E673" s="278"/>
      <c r="F673" s="278"/>
      <c r="G673" s="278"/>
      <c r="H673" s="278"/>
    </row>
    <row r="674" spans="4:8" ht="12.75" customHeight="1" x14ac:dyDescent="0.25">
      <c r="D674" s="281"/>
      <c r="E674" s="278"/>
      <c r="F674" s="278"/>
      <c r="G674" s="278"/>
      <c r="H674" s="278"/>
    </row>
    <row r="675" spans="4:8" ht="12.75" customHeight="1" x14ac:dyDescent="0.25">
      <c r="D675" s="281"/>
      <c r="E675" s="278"/>
      <c r="F675" s="278"/>
      <c r="G675" s="278"/>
      <c r="H675" s="278"/>
    </row>
    <row r="676" spans="4:8" ht="12.75" customHeight="1" x14ac:dyDescent="0.25">
      <c r="D676" s="281"/>
      <c r="E676" s="278"/>
      <c r="F676" s="278"/>
      <c r="G676" s="278"/>
      <c r="H676" s="278"/>
    </row>
    <row r="677" spans="4:8" ht="12.75" customHeight="1" x14ac:dyDescent="0.25">
      <c r="D677" s="281"/>
      <c r="E677" s="278"/>
      <c r="F677" s="278"/>
      <c r="G677" s="278"/>
      <c r="H677" s="278"/>
    </row>
    <row r="678" spans="4:8" ht="12.75" customHeight="1" x14ac:dyDescent="0.25">
      <c r="D678" s="281"/>
      <c r="E678" s="278"/>
      <c r="F678" s="278"/>
      <c r="G678" s="278"/>
      <c r="H678" s="278"/>
    </row>
    <row r="679" spans="4:8" ht="12.75" customHeight="1" x14ac:dyDescent="0.25">
      <c r="D679" s="281"/>
      <c r="E679" s="278"/>
      <c r="F679" s="278"/>
      <c r="G679" s="278"/>
      <c r="H679" s="278"/>
    </row>
    <row r="680" spans="4:8" ht="12.75" customHeight="1" x14ac:dyDescent="0.25">
      <c r="D680" s="281"/>
      <c r="E680" s="278"/>
      <c r="F680" s="278"/>
      <c r="G680" s="278"/>
      <c r="H680" s="278"/>
    </row>
    <row r="681" spans="4:8" ht="12.75" customHeight="1" x14ac:dyDescent="0.25">
      <c r="D681" s="281"/>
      <c r="E681" s="278"/>
      <c r="F681" s="278"/>
      <c r="G681" s="278"/>
      <c r="H681" s="278"/>
    </row>
    <row r="682" spans="4:8" ht="12.75" customHeight="1" x14ac:dyDescent="0.25">
      <c r="D682" s="281"/>
      <c r="E682" s="278"/>
      <c r="F682" s="278"/>
      <c r="G682" s="278"/>
      <c r="H682" s="278"/>
    </row>
    <row r="683" spans="4:8" ht="12.75" customHeight="1" x14ac:dyDescent="0.25">
      <c r="D683" s="281"/>
      <c r="E683" s="278"/>
      <c r="F683" s="278"/>
      <c r="G683" s="278"/>
      <c r="H683" s="278"/>
    </row>
    <row r="684" spans="4:8" ht="12.75" customHeight="1" x14ac:dyDescent="0.25">
      <c r="D684" s="281"/>
      <c r="E684" s="278"/>
      <c r="F684" s="278"/>
      <c r="G684" s="278"/>
      <c r="H684" s="278"/>
    </row>
    <row r="685" spans="4:8" ht="12.75" customHeight="1" x14ac:dyDescent="0.25">
      <c r="D685" s="281"/>
      <c r="E685" s="278"/>
      <c r="F685" s="278"/>
      <c r="G685" s="278"/>
      <c r="H685" s="278"/>
    </row>
    <row r="686" spans="4:8" ht="12.75" customHeight="1" x14ac:dyDescent="0.25">
      <c r="D686" s="281"/>
      <c r="E686" s="278"/>
      <c r="F686" s="278"/>
      <c r="G686" s="278"/>
      <c r="H686" s="278"/>
    </row>
    <row r="687" spans="4:8" ht="12.75" customHeight="1" x14ac:dyDescent="0.25">
      <c r="D687" s="281"/>
      <c r="E687" s="278"/>
      <c r="F687" s="278"/>
      <c r="G687" s="278"/>
      <c r="H687" s="278"/>
    </row>
    <row r="688" spans="4:8" ht="12.75" customHeight="1" x14ac:dyDescent="0.25">
      <c r="D688" s="281"/>
      <c r="E688" s="278"/>
      <c r="F688" s="278"/>
      <c r="G688" s="278"/>
      <c r="H688" s="278"/>
    </row>
    <row r="689" spans="4:8" ht="12.75" customHeight="1" x14ac:dyDescent="0.25">
      <c r="D689" s="281"/>
      <c r="E689" s="278"/>
      <c r="F689" s="278"/>
      <c r="G689" s="278"/>
      <c r="H689" s="278"/>
    </row>
    <row r="690" spans="4:8" ht="12.75" customHeight="1" x14ac:dyDescent="0.25">
      <c r="D690" s="281"/>
      <c r="E690" s="278"/>
      <c r="F690" s="278"/>
      <c r="G690" s="278"/>
      <c r="H690" s="278"/>
    </row>
    <row r="691" spans="4:8" ht="12.75" customHeight="1" x14ac:dyDescent="0.25">
      <c r="D691" s="281"/>
      <c r="E691" s="278"/>
      <c r="F691" s="278"/>
      <c r="G691" s="278"/>
      <c r="H691" s="278"/>
    </row>
    <row r="692" spans="4:8" ht="12.75" customHeight="1" x14ac:dyDescent="0.25">
      <c r="D692" s="281"/>
      <c r="E692" s="278"/>
      <c r="F692" s="278"/>
      <c r="G692" s="278"/>
      <c r="H692" s="278"/>
    </row>
    <row r="693" spans="4:8" ht="12.75" customHeight="1" x14ac:dyDescent="0.25">
      <c r="D693" s="281"/>
      <c r="E693" s="278"/>
      <c r="F693" s="278"/>
      <c r="G693" s="278"/>
      <c r="H693" s="278"/>
    </row>
    <row r="694" spans="4:8" ht="12.75" customHeight="1" x14ac:dyDescent="0.25">
      <c r="D694" s="281"/>
      <c r="E694" s="278"/>
      <c r="F694" s="278"/>
      <c r="G694" s="278"/>
      <c r="H694" s="278"/>
    </row>
    <row r="695" spans="4:8" ht="12.75" customHeight="1" x14ac:dyDescent="0.25">
      <c r="D695" s="281"/>
      <c r="E695" s="278"/>
      <c r="F695" s="278"/>
      <c r="G695" s="278"/>
      <c r="H695" s="278"/>
    </row>
    <row r="696" spans="4:8" ht="12.75" customHeight="1" x14ac:dyDescent="0.25">
      <c r="D696" s="281"/>
      <c r="E696" s="278"/>
      <c r="F696" s="278"/>
      <c r="G696" s="278"/>
      <c r="H696" s="278"/>
    </row>
    <row r="697" spans="4:8" ht="12.75" customHeight="1" x14ac:dyDescent="0.25">
      <c r="D697" s="281"/>
      <c r="E697" s="278"/>
      <c r="F697" s="278"/>
      <c r="G697" s="278"/>
      <c r="H697" s="278"/>
    </row>
    <row r="698" spans="4:8" ht="12.75" customHeight="1" x14ac:dyDescent="0.25">
      <c r="D698" s="281"/>
      <c r="E698" s="278"/>
      <c r="F698" s="278"/>
      <c r="G698" s="278"/>
      <c r="H698" s="278"/>
    </row>
    <row r="699" spans="4:8" ht="12.75" customHeight="1" x14ac:dyDescent="0.25">
      <c r="D699" s="281"/>
      <c r="E699" s="278"/>
      <c r="F699" s="278"/>
      <c r="G699" s="278"/>
      <c r="H699" s="278"/>
    </row>
    <row r="700" spans="4:8" ht="12.75" customHeight="1" x14ac:dyDescent="0.25">
      <c r="D700" s="281"/>
      <c r="E700" s="278"/>
      <c r="F700" s="278"/>
      <c r="G700" s="278"/>
      <c r="H700" s="278"/>
    </row>
    <row r="701" spans="4:8" ht="12.75" customHeight="1" x14ac:dyDescent="0.25">
      <c r="D701" s="281"/>
      <c r="E701" s="278"/>
      <c r="F701" s="278"/>
      <c r="G701" s="278"/>
      <c r="H701" s="278"/>
    </row>
    <row r="702" spans="4:8" ht="12.75" customHeight="1" x14ac:dyDescent="0.25">
      <c r="D702" s="281"/>
      <c r="E702" s="278"/>
      <c r="F702" s="278"/>
      <c r="G702" s="278"/>
      <c r="H702" s="278"/>
    </row>
    <row r="703" spans="4:8" ht="12.75" customHeight="1" x14ac:dyDescent="0.25">
      <c r="D703" s="281"/>
      <c r="E703" s="278"/>
      <c r="F703" s="278"/>
      <c r="G703" s="278"/>
      <c r="H703" s="278"/>
    </row>
    <row r="704" spans="4:8" ht="12.75" customHeight="1" x14ac:dyDescent="0.25">
      <c r="D704" s="281"/>
      <c r="E704" s="278"/>
      <c r="F704" s="278"/>
      <c r="G704" s="278"/>
      <c r="H704" s="278"/>
    </row>
    <row r="705" spans="4:8" ht="12.75" customHeight="1" x14ac:dyDescent="0.25">
      <c r="D705" s="281"/>
      <c r="E705" s="278"/>
      <c r="F705" s="278"/>
      <c r="G705" s="278"/>
      <c r="H705" s="278"/>
    </row>
    <row r="706" spans="4:8" ht="12.75" customHeight="1" x14ac:dyDescent="0.25">
      <c r="D706" s="281"/>
      <c r="E706" s="278"/>
      <c r="F706" s="278"/>
      <c r="G706" s="278"/>
      <c r="H706" s="278"/>
    </row>
    <row r="707" spans="4:8" ht="12.75" customHeight="1" x14ac:dyDescent="0.25">
      <c r="D707" s="281"/>
      <c r="E707" s="278"/>
      <c r="F707" s="278"/>
      <c r="G707" s="278"/>
      <c r="H707" s="278"/>
    </row>
    <row r="708" spans="4:8" ht="12.75" customHeight="1" x14ac:dyDescent="0.25">
      <c r="D708" s="281"/>
      <c r="E708" s="278"/>
      <c r="F708" s="278"/>
      <c r="G708" s="278"/>
      <c r="H708" s="278"/>
    </row>
    <row r="709" spans="4:8" ht="12.75" customHeight="1" x14ac:dyDescent="0.25">
      <c r="D709" s="281"/>
      <c r="E709" s="278"/>
      <c r="F709" s="278"/>
      <c r="G709" s="278"/>
      <c r="H709" s="278"/>
    </row>
    <row r="710" spans="4:8" ht="12.75" customHeight="1" x14ac:dyDescent="0.25">
      <c r="D710" s="281"/>
      <c r="E710" s="278"/>
      <c r="F710" s="278"/>
      <c r="G710" s="278"/>
      <c r="H710" s="278"/>
    </row>
    <row r="711" spans="4:8" ht="12.75" customHeight="1" x14ac:dyDescent="0.25">
      <c r="D711" s="281"/>
      <c r="E711" s="278"/>
      <c r="F711" s="278"/>
      <c r="G711" s="278"/>
      <c r="H711" s="278"/>
    </row>
    <row r="712" spans="4:8" ht="12.75" customHeight="1" x14ac:dyDescent="0.25">
      <c r="D712" s="281"/>
      <c r="E712" s="278"/>
      <c r="F712" s="278"/>
      <c r="G712" s="278"/>
      <c r="H712" s="278"/>
    </row>
    <row r="713" spans="4:8" ht="12.75" customHeight="1" x14ac:dyDescent="0.25">
      <c r="D713" s="281"/>
      <c r="E713" s="278"/>
      <c r="F713" s="278"/>
      <c r="G713" s="278"/>
      <c r="H713" s="278"/>
    </row>
    <row r="714" spans="4:8" ht="12.75" customHeight="1" x14ac:dyDescent="0.25">
      <c r="D714" s="281"/>
      <c r="E714" s="278"/>
      <c r="F714" s="278"/>
      <c r="G714" s="278"/>
      <c r="H714" s="278"/>
    </row>
    <row r="715" spans="4:8" ht="12.75" customHeight="1" x14ac:dyDescent="0.25">
      <c r="D715" s="281"/>
      <c r="E715" s="278"/>
      <c r="F715" s="278"/>
      <c r="G715" s="278"/>
      <c r="H715" s="278"/>
    </row>
    <row r="716" spans="4:8" ht="12.75" customHeight="1" x14ac:dyDescent="0.25">
      <c r="D716" s="281"/>
      <c r="E716" s="278"/>
      <c r="F716" s="278"/>
      <c r="G716" s="278"/>
      <c r="H716" s="278"/>
    </row>
    <row r="717" spans="4:8" ht="12.75" customHeight="1" x14ac:dyDescent="0.25">
      <c r="D717" s="281"/>
      <c r="E717" s="278"/>
      <c r="F717" s="278"/>
      <c r="G717" s="278"/>
      <c r="H717" s="278"/>
    </row>
    <row r="718" spans="4:8" ht="12.75" customHeight="1" x14ac:dyDescent="0.25">
      <c r="D718" s="281"/>
      <c r="E718" s="278"/>
      <c r="F718" s="278"/>
      <c r="G718" s="278"/>
      <c r="H718" s="278"/>
    </row>
    <row r="719" spans="4:8" ht="12.75" customHeight="1" x14ac:dyDescent="0.25">
      <c r="D719" s="281"/>
      <c r="E719" s="278"/>
      <c r="F719" s="278"/>
      <c r="G719" s="278"/>
      <c r="H719" s="278"/>
    </row>
    <row r="720" spans="4:8" ht="12.75" customHeight="1" x14ac:dyDescent="0.25">
      <c r="D720" s="281"/>
      <c r="E720" s="278"/>
      <c r="F720" s="278"/>
      <c r="G720" s="278"/>
      <c r="H720" s="278"/>
    </row>
    <row r="721" spans="4:8" ht="12.75" customHeight="1" x14ac:dyDescent="0.25">
      <c r="D721" s="281"/>
      <c r="E721" s="278"/>
      <c r="F721" s="278"/>
      <c r="G721" s="278"/>
      <c r="H721" s="278"/>
    </row>
    <row r="722" spans="4:8" ht="12.75" customHeight="1" x14ac:dyDescent="0.25">
      <c r="D722" s="281"/>
      <c r="E722" s="278"/>
      <c r="F722" s="278"/>
      <c r="G722" s="278"/>
      <c r="H722" s="278"/>
    </row>
    <row r="723" spans="4:8" ht="12.75" customHeight="1" x14ac:dyDescent="0.25">
      <c r="D723" s="281"/>
      <c r="E723" s="278"/>
      <c r="F723" s="278"/>
      <c r="G723" s="278"/>
      <c r="H723" s="278"/>
    </row>
    <row r="724" spans="4:8" ht="12.75" customHeight="1" x14ac:dyDescent="0.25">
      <c r="D724" s="281"/>
      <c r="E724" s="278"/>
      <c r="F724" s="278"/>
      <c r="G724" s="278"/>
      <c r="H724" s="278"/>
    </row>
    <row r="725" spans="4:8" ht="12.75" customHeight="1" x14ac:dyDescent="0.25">
      <c r="D725" s="281"/>
      <c r="E725" s="278"/>
      <c r="F725" s="278"/>
      <c r="G725" s="278"/>
      <c r="H725" s="278"/>
    </row>
    <row r="726" spans="4:8" ht="12.75" customHeight="1" x14ac:dyDescent="0.25">
      <c r="D726" s="281"/>
      <c r="E726" s="278"/>
      <c r="F726" s="278"/>
      <c r="G726" s="278"/>
      <c r="H726" s="278"/>
    </row>
    <row r="727" spans="4:8" ht="12.75" customHeight="1" x14ac:dyDescent="0.25">
      <c r="D727" s="281"/>
      <c r="E727" s="278"/>
      <c r="F727" s="278"/>
      <c r="G727" s="278"/>
      <c r="H727" s="278"/>
    </row>
    <row r="728" spans="4:8" ht="12.75" customHeight="1" x14ac:dyDescent="0.25">
      <c r="D728" s="281"/>
      <c r="E728" s="278"/>
      <c r="F728" s="278"/>
      <c r="G728" s="278"/>
      <c r="H728" s="278"/>
    </row>
    <row r="729" spans="4:8" ht="12.75" customHeight="1" x14ac:dyDescent="0.25">
      <c r="D729" s="281"/>
      <c r="E729" s="278"/>
      <c r="F729" s="278"/>
      <c r="G729" s="278"/>
      <c r="H729" s="278"/>
    </row>
    <row r="730" spans="4:8" ht="12.75" customHeight="1" x14ac:dyDescent="0.25">
      <c r="D730" s="281"/>
      <c r="E730" s="278"/>
      <c r="F730" s="278"/>
      <c r="G730" s="278"/>
      <c r="H730" s="278"/>
    </row>
    <row r="731" spans="4:8" ht="12.75" customHeight="1" x14ac:dyDescent="0.25">
      <c r="D731" s="281"/>
      <c r="E731" s="278"/>
      <c r="F731" s="278"/>
      <c r="G731" s="278"/>
      <c r="H731" s="278"/>
    </row>
    <row r="732" spans="4:8" ht="12.75" customHeight="1" x14ac:dyDescent="0.25">
      <c r="D732" s="281"/>
      <c r="E732" s="278"/>
      <c r="F732" s="278"/>
      <c r="G732" s="278"/>
      <c r="H732" s="278"/>
    </row>
    <row r="733" spans="4:8" ht="12.75" customHeight="1" x14ac:dyDescent="0.25">
      <c r="D733" s="281"/>
      <c r="E733" s="278"/>
      <c r="F733" s="278"/>
      <c r="G733" s="278"/>
      <c r="H733" s="278"/>
    </row>
    <row r="734" spans="4:8" ht="12.75" customHeight="1" x14ac:dyDescent="0.25">
      <c r="D734" s="281"/>
      <c r="E734" s="278"/>
      <c r="F734" s="278"/>
      <c r="G734" s="278"/>
      <c r="H734" s="278"/>
    </row>
    <row r="735" spans="4:8" ht="12.75" customHeight="1" x14ac:dyDescent="0.25">
      <c r="D735" s="281"/>
      <c r="E735" s="278"/>
      <c r="F735" s="278"/>
      <c r="G735" s="278"/>
      <c r="H735" s="278"/>
    </row>
    <row r="736" spans="4:8" ht="12.75" customHeight="1" x14ac:dyDescent="0.25">
      <c r="D736" s="281"/>
      <c r="E736" s="278"/>
      <c r="F736" s="278"/>
      <c r="G736" s="278"/>
      <c r="H736" s="278"/>
    </row>
    <row r="737" spans="4:8" ht="12.75" customHeight="1" x14ac:dyDescent="0.25">
      <c r="D737" s="281"/>
      <c r="E737" s="278"/>
      <c r="F737" s="278"/>
      <c r="G737" s="278"/>
      <c r="H737" s="278"/>
    </row>
    <row r="738" spans="4:8" ht="12.75" customHeight="1" x14ac:dyDescent="0.25">
      <c r="D738" s="281"/>
      <c r="E738" s="278"/>
      <c r="F738" s="278"/>
      <c r="G738" s="278"/>
      <c r="H738" s="278"/>
    </row>
    <row r="739" spans="4:8" ht="12.75" customHeight="1" x14ac:dyDescent="0.25">
      <c r="D739" s="281"/>
      <c r="E739" s="278"/>
      <c r="F739" s="278"/>
      <c r="G739" s="278"/>
      <c r="H739" s="278"/>
    </row>
    <row r="740" spans="4:8" ht="12.75" customHeight="1" x14ac:dyDescent="0.25">
      <c r="D740" s="281"/>
      <c r="E740" s="278"/>
      <c r="F740" s="278"/>
      <c r="G740" s="278"/>
      <c r="H740" s="278"/>
    </row>
    <row r="741" spans="4:8" ht="13.5" customHeight="1" x14ac:dyDescent="0.25">
      <c r="D741" s="281"/>
      <c r="E741" s="278"/>
      <c r="F741" s="278"/>
      <c r="G741" s="278"/>
      <c r="H741" s="278"/>
    </row>
    <row r="742" spans="4:8" ht="12.75" customHeight="1" x14ac:dyDescent="0.25">
      <c r="D742" s="281"/>
      <c r="E742" s="278"/>
      <c r="F742" s="278"/>
      <c r="G742" s="278"/>
      <c r="H742" s="278"/>
    </row>
    <row r="743" spans="4:8" ht="12.75" customHeight="1" x14ac:dyDescent="0.25">
      <c r="D743" s="281"/>
      <c r="E743" s="278"/>
      <c r="F743" s="278"/>
      <c r="G743" s="278"/>
      <c r="H743" s="278"/>
    </row>
    <row r="744" spans="4:8" ht="12.75" customHeight="1" x14ac:dyDescent="0.25">
      <c r="D744" s="281"/>
      <c r="E744" s="278"/>
      <c r="F744" s="278"/>
      <c r="G744" s="278"/>
      <c r="H744" s="278"/>
    </row>
    <row r="745" spans="4:8" ht="12.75" customHeight="1" x14ac:dyDescent="0.25">
      <c r="D745" s="281"/>
      <c r="E745" s="278"/>
      <c r="F745" s="278"/>
      <c r="G745" s="278"/>
      <c r="H745" s="278"/>
    </row>
    <row r="746" spans="4:8" ht="12.75" customHeight="1" x14ac:dyDescent="0.25">
      <c r="D746" s="281"/>
      <c r="E746" s="278"/>
      <c r="F746" s="278"/>
      <c r="G746" s="278"/>
      <c r="H746" s="278"/>
    </row>
    <row r="747" spans="4:8" ht="12.75" customHeight="1" x14ac:dyDescent="0.25">
      <c r="D747" s="281"/>
      <c r="E747" s="278"/>
      <c r="F747" s="278"/>
      <c r="G747" s="278"/>
      <c r="H747" s="278"/>
    </row>
    <row r="748" spans="4:8" ht="12.75" customHeight="1" x14ac:dyDescent="0.25">
      <c r="D748" s="281"/>
      <c r="E748" s="278"/>
      <c r="F748" s="278"/>
      <c r="G748" s="278"/>
      <c r="H748" s="278"/>
    </row>
    <row r="749" spans="4:8" ht="12.75" customHeight="1" x14ac:dyDescent="0.25">
      <c r="D749" s="281"/>
      <c r="E749" s="278"/>
      <c r="F749" s="278"/>
      <c r="G749" s="278"/>
      <c r="H749" s="278"/>
    </row>
    <row r="750" spans="4:8" ht="12.75" customHeight="1" x14ac:dyDescent="0.25">
      <c r="D750" s="281"/>
      <c r="E750" s="278"/>
      <c r="F750" s="278"/>
      <c r="G750" s="278"/>
      <c r="H750" s="278"/>
    </row>
    <row r="751" spans="4:8" ht="12.75" customHeight="1" x14ac:dyDescent="0.25">
      <c r="D751" s="281"/>
      <c r="E751" s="278"/>
      <c r="F751" s="278"/>
      <c r="G751" s="278"/>
      <c r="H751" s="278"/>
    </row>
    <row r="752" spans="4:8" ht="12.75" customHeight="1" x14ac:dyDescent="0.25">
      <c r="D752" s="281"/>
      <c r="E752" s="278"/>
      <c r="F752" s="278"/>
      <c r="G752" s="278"/>
      <c r="H752" s="278"/>
    </row>
    <row r="753" spans="4:30" ht="12.75" customHeight="1" x14ac:dyDescent="0.25">
      <c r="D753" s="281"/>
      <c r="E753" s="278"/>
      <c r="F753" s="278"/>
      <c r="G753" s="278"/>
      <c r="H753" s="278"/>
    </row>
    <row r="754" spans="4:30" ht="12.75" customHeight="1" x14ac:dyDescent="0.25">
      <c r="D754" s="281"/>
      <c r="E754" s="278"/>
      <c r="F754" s="278"/>
      <c r="G754" s="278"/>
      <c r="H754" s="278"/>
    </row>
    <row r="755" spans="4:30" ht="12.75" customHeight="1" x14ac:dyDescent="0.25">
      <c r="D755" s="281"/>
      <c r="E755" s="278"/>
      <c r="F755" s="278"/>
      <c r="G755" s="278"/>
      <c r="H755" s="278"/>
    </row>
    <row r="756" spans="4:30" ht="12.75" customHeight="1" x14ac:dyDescent="0.25">
      <c r="D756" s="281"/>
      <c r="E756" s="278"/>
      <c r="F756" s="278"/>
      <c r="G756" s="278"/>
      <c r="H756" s="278"/>
    </row>
    <row r="757" spans="4:30" ht="12.75" customHeight="1" x14ac:dyDescent="0.25">
      <c r="D757" s="281"/>
      <c r="E757" s="278"/>
      <c r="F757" s="278"/>
      <c r="G757" s="278"/>
      <c r="H757" s="278"/>
    </row>
    <row r="758" spans="4:30" ht="12.75" customHeight="1" x14ac:dyDescent="0.25">
      <c r="D758" s="281"/>
      <c r="E758" s="278"/>
      <c r="F758" s="278"/>
      <c r="G758" s="278"/>
      <c r="H758" s="278"/>
    </row>
    <row r="759" spans="4:30" ht="12.75" customHeight="1" x14ac:dyDescent="0.25">
      <c r="D759" s="281"/>
      <c r="E759" s="278"/>
      <c r="F759" s="278"/>
      <c r="G759" s="278"/>
      <c r="H759" s="278"/>
    </row>
    <row r="760" spans="4:30" ht="12.75" customHeight="1" x14ac:dyDescent="0.25">
      <c r="D760" s="281"/>
      <c r="E760" s="278"/>
      <c r="F760" s="278"/>
      <c r="G760" s="278"/>
      <c r="H760" s="278"/>
    </row>
    <row r="761" spans="4:30" ht="12.75" customHeight="1" x14ac:dyDescent="0.25">
      <c r="D761" s="281"/>
      <c r="E761" s="278"/>
      <c r="F761" s="278"/>
      <c r="G761" s="278"/>
      <c r="H761" s="278"/>
    </row>
    <row r="762" spans="4:30" ht="12.75" customHeight="1" x14ac:dyDescent="0.25">
      <c r="D762" s="281"/>
      <c r="E762" s="278"/>
      <c r="F762" s="278"/>
      <c r="G762" s="278"/>
      <c r="H762" s="278"/>
    </row>
    <row r="763" spans="4:30" ht="12.75" customHeight="1" x14ac:dyDescent="0.25">
      <c r="D763" s="281"/>
      <c r="E763" s="278"/>
      <c r="F763" s="278"/>
      <c r="G763" s="278"/>
      <c r="H763" s="278"/>
    </row>
    <row r="764" spans="4:30" ht="12.75" customHeight="1" x14ac:dyDescent="0.25">
      <c r="D764" s="281"/>
      <c r="E764" s="278"/>
      <c r="F764" s="278"/>
      <c r="G764" s="278"/>
      <c r="H764" s="278"/>
    </row>
    <row r="765" spans="4:30" ht="12.75" customHeight="1" x14ac:dyDescent="0.25">
      <c r="D765" s="281"/>
      <c r="E765" s="278"/>
      <c r="F765" s="278"/>
      <c r="G765" s="278"/>
      <c r="H765" s="278"/>
    </row>
    <row r="766" spans="4:30" ht="12.75" customHeight="1" x14ac:dyDescent="0.25">
      <c r="D766" s="281"/>
      <c r="E766" s="278"/>
      <c r="F766" s="278"/>
      <c r="G766" s="278"/>
      <c r="H766" s="278"/>
    </row>
    <row r="767" spans="4:30" ht="12.75" customHeight="1" x14ac:dyDescent="0.25">
      <c r="D767" s="281"/>
      <c r="E767" s="278"/>
      <c r="F767" s="278"/>
      <c r="G767" s="278"/>
      <c r="H767" s="278"/>
    </row>
    <row r="768" spans="4:30" ht="12.75" customHeight="1" x14ac:dyDescent="0.25">
      <c r="D768" s="281"/>
      <c r="E768" s="278"/>
      <c r="F768" s="278"/>
      <c r="G768" s="278"/>
      <c r="H768" s="278"/>
      <c r="AD768" s="122">
        <v>1</v>
      </c>
    </row>
    <row r="769" spans="4:8" ht="12.75" customHeight="1" x14ac:dyDescent="0.25">
      <c r="D769" s="281"/>
      <c r="E769" s="278"/>
      <c r="F769" s="278"/>
      <c r="G769" s="278"/>
      <c r="H769" s="278"/>
    </row>
    <row r="770" spans="4:8" ht="12.75" customHeight="1" x14ac:dyDescent="0.25">
      <c r="D770" s="281"/>
      <c r="E770" s="278"/>
      <c r="F770" s="278"/>
      <c r="G770" s="278"/>
      <c r="H770" s="278"/>
    </row>
    <row r="771" spans="4:8" ht="12.75" customHeight="1" x14ac:dyDescent="0.25">
      <c r="D771" s="281"/>
      <c r="E771" s="278"/>
      <c r="F771" s="278"/>
      <c r="G771" s="278"/>
      <c r="H771" s="278"/>
    </row>
    <row r="772" spans="4:8" ht="12.75" customHeight="1" x14ac:dyDescent="0.25">
      <c r="D772" s="281"/>
      <c r="E772" s="278"/>
      <c r="F772" s="278"/>
      <c r="G772" s="278"/>
      <c r="H772" s="278"/>
    </row>
    <row r="773" spans="4:8" ht="12.75" customHeight="1" x14ac:dyDescent="0.25">
      <c r="D773" s="281"/>
      <c r="E773" s="278"/>
      <c r="F773" s="278"/>
      <c r="G773" s="278"/>
      <c r="H773" s="278"/>
    </row>
    <row r="774" spans="4:8" ht="12.75" customHeight="1" x14ac:dyDescent="0.25">
      <c r="D774" s="281"/>
      <c r="E774" s="278"/>
      <c r="F774" s="278"/>
      <c r="G774" s="278"/>
      <c r="H774" s="278"/>
    </row>
    <row r="775" spans="4:8" ht="12.75" customHeight="1" x14ac:dyDescent="0.25">
      <c r="D775" s="281"/>
      <c r="E775" s="278"/>
      <c r="F775" s="278"/>
      <c r="G775" s="278"/>
      <c r="H775" s="278"/>
    </row>
    <row r="776" spans="4:8" ht="12.75" customHeight="1" x14ac:dyDescent="0.25">
      <c r="D776" s="281"/>
      <c r="E776" s="278"/>
      <c r="F776" s="278"/>
      <c r="G776" s="278"/>
      <c r="H776" s="278"/>
    </row>
    <row r="777" spans="4:8" ht="12.75" customHeight="1" x14ac:dyDescent="0.25">
      <c r="D777" s="281"/>
      <c r="E777" s="278"/>
      <c r="F777" s="278"/>
      <c r="G777" s="278"/>
      <c r="H777" s="278"/>
    </row>
    <row r="778" spans="4:8" ht="12.75" customHeight="1" x14ac:dyDescent="0.25">
      <c r="D778" s="281"/>
      <c r="E778" s="278"/>
      <c r="F778" s="278"/>
      <c r="G778" s="278"/>
      <c r="H778" s="278"/>
    </row>
    <row r="779" spans="4:8" ht="12.75" customHeight="1" x14ac:dyDescent="0.25">
      <c r="D779" s="281"/>
      <c r="F779" s="278"/>
      <c r="G779" s="278"/>
      <c r="H779" s="278"/>
    </row>
    <row r="780" spans="4:8" ht="12.75" customHeight="1" x14ac:dyDescent="0.25">
      <c r="D780" s="281"/>
      <c r="F780" s="278"/>
      <c r="G780" s="278"/>
      <c r="H780" s="278"/>
    </row>
    <row r="781" spans="4:8" ht="12.75" customHeight="1" x14ac:dyDescent="0.25"/>
    <row r="782" spans="4:8" ht="12.75" customHeight="1" x14ac:dyDescent="0.25"/>
    <row r="783" spans="4:8" ht="12.75" customHeight="1" x14ac:dyDescent="0.25"/>
    <row r="784" spans="4:8" ht="12.75" customHeight="1" x14ac:dyDescent="0.25"/>
    <row r="785" spans="31:31" ht="12.75" customHeight="1" x14ac:dyDescent="0.25"/>
    <row r="786" spans="31:31" ht="12.75" customHeight="1" x14ac:dyDescent="0.25"/>
    <row r="787" spans="31:31" ht="12.75" customHeight="1" x14ac:dyDescent="0.25"/>
    <row r="788" spans="31:31" ht="12.75" customHeight="1" x14ac:dyDescent="0.25"/>
    <row r="789" spans="31:31" ht="12.75" customHeight="1" x14ac:dyDescent="0.25"/>
    <row r="790" spans="31:31" ht="12.75" customHeight="1" x14ac:dyDescent="0.25"/>
    <row r="791" spans="31:31" ht="12" customHeight="1" x14ac:dyDescent="0.25"/>
    <row r="792" spans="31:31" ht="12.75" customHeight="1" x14ac:dyDescent="0.25"/>
    <row r="793" spans="31:31" ht="12.75" customHeight="1" x14ac:dyDescent="0.25"/>
    <row r="794" spans="31:31" ht="12.75" customHeight="1" x14ac:dyDescent="0.25"/>
    <row r="795" spans="31:31" ht="12.75" customHeight="1" x14ac:dyDescent="0.25"/>
    <row r="796" spans="31:31" ht="12.75" customHeight="1" x14ac:dyDescent="0.25">
      <c r="AE796" s="455"/>
    </row>
    <row r="797" spans="31:31" ht="12.75" customHeight="1" x14ac:dyDescent="0.25"/>
    <row r="798" spans="31:31" ht="12.75" customHeight="1" x14ac:dyDescent="0.25"/>
    <row r="799" spans="31:31" ht="12.75" customHeight="1" x14ac:dyDescent="0.25"/>
    <row r="800" spans="31:31" ht="12.75" customHeight="1" x14ac:dyDescent="0.25"/>
    <row r="801" ht="12.75" customHeight="1" x14ac:dyDescent="0.25"/>
    <row r="802" ht="12.75" customHeight="1" x14ac:dyDescent="0.25"/>
    <row r="803" ht="12.75" customHeight="1" x14ac:dyDescent="0.25"/>
    <row r="804" ht="12.75" customHeight="1" x14ac:dyDescent="0.25"/>
    <row r="805" ht="12.75" customHeight="1" x14ac:dyDescent="0.25"/>
    <row r="806" ht="12.75" customHeight="1" x14ac:dyDescent="0.25"/>
    <row r="807" ht="12.75" customHeight="1" x14ac:dyDescent="0.25"/>
    <row r="808" ht="12.75" customHeight="1" x14ac:dyDescent="0.25"/>
    <row r="809" ht="12.75" customHeight="1" x14ac:dyDescent="0.25"/>
    <row r="810" ht="12.75" customHeight="1" x14ac:dyDescent="0.25"/>
    <row r="811" ht="12.75" customHeight="1" x14ac:dyDescent="0.25"/>
    <row r="812" ht="12.75" customHeight="1" x14ac:dyDescent="0.25"/>
    <row r="813" ht="12.75" customHeight="1" x14ac:dyDescent="0.25"/>
    <row r="814" ht="12.75" customHeight="1" x14ac:dyDescent="0.25"/>
    <row r="815" ht="12.75" customHeight="1" x14ac:dyDescent="0.25"/>
    <row r="816" ht="12.75" customHeight="1" x14ac:dyDescent="0.25"/>
    <row r="817" ht="12.75" customHeight="1" x14ac:dyDescent="0.25"/>
    <row r="818" ht="12.75" customHeight="1" x14ac:dyDescent="0.25"/>
    <row r="819" ht="12.75" customHeight="1" x14ac:dyDescent="0.25"/>
    <row r="820" ht="12.75" customHeight="1" x14ac:dyDescent="0.25"/>
    <row r="821" ht="12.75" customHeight="1" x14ac:dyDescent="0.25"/>
    <row r="822" ht="12.75" customHeight="1" x14ac:dyDescent="0.25"/>
    <row r="823" ht="12.75" customHeight="1" x14ac:dyDescent="0.25"/>
    <row r="824" ht="12.75" customHeight="1" x14ac:dyDescent="0.25"/>
    <row r="825" ht="13.5" customHeight="1" x14ac:dyDescent="0.25"/>
    <row r="826" ht="13.5" customHeight="1" x14ac:dyDescent="0.25"/>
    <row r="827" ht="13.5" customHeight="1" x14ac:dyDescent="0.25"/>
    <row r="828" ht="13.5" customHeight="1" x14ac:dyDescent="0.25"/>
    <row r="829" ht="13.5" customHeight="1" x14ac:dyDescent="0.25"/>
    <row r="830" ht="13.5" customHeight="1" x14ac:dyDescent="0.25"/>
    <row r="831" ht="13.5" customHeight="1" x14ac:dyDescent="0.25"/>
    <row r="832" ht="13.5" customHeight="1" x14ac:dyDescent="0.25"/>
    <row r="833" ht="13.5" customHeight="1" x14ac:dyDescent="0.25"/>
    <row r="834" ht="13.5" customHeight="1" x14ac:dyDescent="0.25"/>
    <row r="835" ht="13.5" customHeight="1" x14ac:dyDescent="0.25"/>
    <row r="836" ht="13.5" customHeight="1" x14ac:dyDescent="0.25"/>
    <row r="837" ht="13.5" customHeight="1" x14ac:dyDescent="0.25"/>
    <row r="838" ht="13.5" customHeight="1" x14ac:dyDescent="0.25"/>
    <row r="839" ht="13.5" customHeight="1" x14ac:dyDescent="0.25"/>
    <row r="840" ht="13.5" customHeight="1" x14ac:dyDescent="0.25"/>
    <row r="841" ht="13.5" customHeight="1" x14ac:dyDescent="0.25"/>
    <row r="842" ht="13.5" customHeight="1" x14ac:dyDescent="0.25"/>
    <row r="843" ht="13.5" customHeight="1" x14ac:dyDescent="0.25"/>
    <row r="844" ht="13.5" customHeight="1" x14ac:dyDescent="0.25"/>
    <row r="845" ht="13.5" customHeight="1" x14ac:dyDescent="0.25"/>
    <row r="846" ht="13.5" customHeight="1" x14ac:dyDescent="0.25"/>
    <row r="847" ht="13.5" customHeight="1" x14ac:dyDescent="0.25"/>
    <row r="848" ht="13.5" customHeight="1" x14ac:dyDescent="0.25"/>
    <row r="849" ht="13.5" customHeight="1" x14ac:dyDescent="0.25"/>
    <row r="850" ht="13.5" customHeight="1" x14ac:dyDescent="0.25"/>
    <row r="851" ht="13.5" customHeight="1" x14ac:dyDescent="0.25"/>
    <row r="852" ht="13.5" customHeight="1" x14ac:dyDescent="0.25"/>
    <row r="853" ht="13.5" customHeight="1" x14ac:dyDescent="0.25"/>
    <row r="854" ht="13.5" customHeight="1" x14ac:dyDescent="0.25"/>
    <row r="855" ht="13.5" customHeight="1" x14ac:dyDescent="0.25"/>
    <row r="856" ht="13.5" customHeight="1" x14ac:dyDescent="0.25"/>
  </sheetData>
  <sheetProtection password="CC2E" sheet="1" formatCells="0" formatColumns="0" formatRows="0"/>
  <mergeCells count="296">
    <mergeCell ref="P61:Q61"/>
    <mergeCell ref="K62:L62"/>
    <mergeCell ref="K63:L63"/>
    <mergeCell ref="K64:L64"/>
    <mergeCell ref="K65:L65"/>
    <mergeCell ref="K66:L66"/>
    <mergeCell ref="K67:L67"/>
    <mergeCell ref="K68:L68"/>
    <mergeCell ref="N61:O61"/>
    <mergeCell ref="K61:L61"/>
    <mergeCell ref="T62:U62"/>
    <mergeCell ref="T63:U63"/>
    <mergeCell ref="T64:U64"/>
    <mergeCell ref="T65:U65"/>
    <mergeCell ref="T66:U66"/>
    <mergeCell ref="T67:U67"/>
    <mergeCell ref="T68:U68"/>
    <mergeCell ref="N62:O62"/>
    <mergeCell ref="N63:O63"/>
    <mergeCell ref="N64:O64"/>
    <mergeCell ref="N65:O65"/>
    <mergeCell ref="N66:O66"/>
    <mergeCell ref="N67:O67"/>
    <mergeCell ref="N68:O68"/>
    <mergeCell ref="F33:I33"/>
    <mergeCell ref="F34:I34"/>
    <mergeCell ref="F35:I35"/>
    <mergeCell ref="F37:G37"/>
    <mergeCell ref="B44:C44"/>
    <mergeCell ref="D44:F44"/>
    <mergeCell ref="G44:I44"/>
    <mergeCell ref="F13:I13"/>
    <mergeCell ref="F14:I14"/>
    <mergeCell ref="F15:I15"/>
    <mergeCell ref="F17:I17"/>
    <mergeCell ref="F18:I18"/>
    <mergeCell ref="F20:I20"/>
    <mergeCell ref="F22:I22"/>
    <mergeCell ref="F32:I32"/>
    <mergeCell ref="B26:C26"/>
    <mergeCell ref="F36:I36"/>
    <mergeCell ref="T61:U61"/>
    <mergeCell ref="T57:U57"/>
    <mergeCell ref="T58:U58"/>
    <mergeCell ref="T59:U59"/>
    <mergeCell ref="T50:U50"/>
    <mergeCell ref="T51:U51"/>
    <mergeCell ref="T52:U52"/>
    <mergeCell ref="T53:U53"/>
    <mergeCell ref="T54:U54"/>
    <mergeCell ref="L264:M264"/>
    <mergeCell ref="K263:M263"/>
    <mergeCell ref="B67:D67"/>
    <mergeCell ref="C68:D68"/>
    <mergeCell ref="F68:H68"/>
    <mergeCell ref="K76:M76"/>
    <mergeCell ref="O76:Q76"/>
    <mergeCell ref="L77:M77"/>
    <mergeCell ref="O77:Q77"/>
    <mergeCell ref="P263:Q263"/>
    <mergeCell ref="F67:I67"/>
    <mergeCell ref="K69:L69"/>
    <mergeCell ref="N69:O69"/>
    <mergeCell ref="K70:L70"/>
    <mergeCell ref="N70:O70"/>
    <mergeCell ref="P70:Q70"/>
    <mergeCell ref="K71:L71"/>
    <mergeCell ref="N71:O71"/>
    <mergeCell ref="K42:L42"/>
    <mergeCell ref="N42:O42"/>
    <mergeCell ref="T48:U48"/>
    <mergeCell ref="T49:U49"/>
    <mergeCell ref="T55:U55"/>
    <mergeCell ref="K44:L44"/>
    <mergeCell ref="N44:O44"/>
    <mergeCell ref="K45:L45"/>
    <mergeCell ref="N45:O45"/>
    <mergeCell ref="K46:L46"/>
    <mergeCell ref="K43:L43"/>
    <mergeCell ref="N43:O43"/>
    <mergeCell ref="T43:U43"/>
    <mergeCell ref="N51:O51"/>
    <mergeCell ref="K52:L52"/>
    <mergeCell ref="N52:O52"/>
    <mergeCell ref="K53:L53"/>
    <mergeCell ref="N53:O53"/>
    <mergeCell ref="K54:L54"/>
    <mergeCell ref="N54:O54"/>
    <mergeCell ref="K55:L55"/>
    <mergeCell ref="N55:O55"/>
    <mergeCell ref="N50:O50"/>
    <mergeCell ref="T44:U44"/>
    <mergeCell ref="N58:O58"/>
    <mergeCell ref="K59:L59"/>
    <mergeCell ref="N59:O59"/>
    <mergeCell ref="K60:L60"/>
    <mergeCell ref="N60:O60"/>
    <mergeCell ref="P57:Q57"/>
    <mergeCell ref="P58:Q58"/>
    <mergeCell ref="P59:Q59"/>
    <mergeCell ref="N56:O56"/>
    <mergeCell ref="K57:L57"/>
    <mergeCell ref="N57:O57"/>
    <mergeCell ref="K58:L58"/>
    <mergeCell ref="P60:Q60"/>
    <mergeCell ref="T45:U45"/>
    <mergeCell ref="N46:O46"/>
    <mergeCell ref="K47:L47"/>
    <mergeCell ref="N47:O47"/>
    <mergeCell ref="K48:L48"/>
    <mergeCell ref="N48:O48"/>
    <mergeCell ref="K49:L49"/>
    <mergeCell ref="N49:O49"/>
    <mergeCell ref="K36:L36"/>
    <mergeCell ref="N36:O36"/>
    <mergeCell ref="T36:U36"/>
    <mergeCell ref="K37:L37"/>
    <mergeCell ref="N37:O37"/>
    <mergeCell ref="T37:U37"/>
    <mergeCell ref="T38:U38"/>
    <mergeCell ref="K41:L41"/>
    <mergeCell ref="N41:O41"/>
    <mergeCell ref="T41:U41"/>
    <mergeCell ref="K38:L38"/>
    <mergeCell ref="N38:O38"/>
    <mergeCell ref="K40:L40"/>
    <mergeCell ref="N40:O40"/>
    <mergeCell ref="K39:L39"/>
    <mergeCell ref="N39:O39"/>
    <mergeCell ref="T39:U39"/>
    <mergeCell ref="T40:U40"/>
    <mergeCell ref="P36:Q36"/>
    <mergeCell ref="P37:Q37"/>
    <mergeCell ref="P38:Q38"/>
    <mergeCell ref="P39:Q39"/>
    <mergeCell ref="P40:Q40"/>
    <mergeCell ref="P41:Q41"/>
    <mergeCell ref="K34:L34"/>
    <mergeCell ref="N34:O34"/>
    <mergeCell ref="T34:U34"/>
    <mergeCell ref="K35:L35"/>
    <mergeCell ref="N35:O35"/>
    <mergeCell ref="T35:U35"/>
    <mergeCell ref="P35:Q35"/>
    <mergeCell ref="K32:L32"/>
    <mergeCell ref="N32:O32"/>
    <mergeCell ref="T32:U32"/>
    <mergeCell ref="K33:L33"/>
    <mergeCell ref="N33:O33"/>
    <mergeCell ref="T33:U33"/>
    <mergeCell ref="P32:Q32"/>
    <mergeCell ref="P33:Q33"/>
    <mergeCell ref="P34:Q34"/>
    <mergeCell ref="K26:L26"/>
    <mergeCell ref="N26:O26"/>
    <mergeCell ref="T26:U26"/>
    <mergeCell ref="K27:L27"/>
    <mergeCell ref="N27:O27"/>
    <mergeCell ref="T27:U27"/>
    <mergeCell ref="F26:I26"/>
    <mergeCell ref="F28:I28"/>
    <mergeCell ref="F24:I24"/>
    <mergeCell ref="P26:Q26"/>
    <mergeCell ref="P27:Q27"/>
    <mergeCell ref="K24:L24"/>
    <mergeCell ref="N24:O24"/>
    <mergeCell ref="T24:U24"/>
    <mergeCell ref="K25:L25"/>
    <mergeCell ref="N25:O25"/>
    <mergeCell ref="T25:U25"/>
    <mergeCell ref="P25:Q25"/>
    <mergeCell ref="K31:L31"/>
    <mergeCell ref="N31:O31"/>
    <mergeCell ref="T31:U31"/>
    <mergeCell ref="K28:L28"/>
    <mergeCell ref="N28:O28"/>
    <mergeCell ref="T28:U28"/>
    <mergeCell ref="K29:L29"/>
    <mergeCell ref="N29:O29"/>
    <mergeCell ref="T29:U29"/>
    <mergeCell ref="K30:L30"/>
    <mergeCell ref="N30:O30"/>
    <mergeCell ref="T30:U30"/>
    <mergeCell ref="P28:Q28"/>
    <mergeCell ref="P29:Q29"/>
    <mergeCell ref="P30:Q30"/>
    <mergeCell ref="P31:Q31"/>
    <mergeCell ref="K22:L22"/>
    <mergeCell ref="N22:O22"/>
    <mergeCell ref="T22:U22"/>
    <mergeCell ref="K23:L23"/>
    <mergeCell ref="N23:O23"/>
    <mergeCell ref="T23:U23"/>
    <mergeCell ref="P22:Q22"/>
    <mergeCell ref="P23:Q23"/>
    <mergeCell ref="P24:Q24"/>
    <mergeCell ref="K20:L20"/>
    <mergeCell ref="N20:O20"/>
    <mergeCell ref="T20:U20"/>
    <mergeCell ref="K21:L21"/>
    <mergeCell ref="N21:O21"/>
    <mergeCell ref="T21:U21"/>
    <mergeCell ref="K18:L18"/>
    <mergeCell ref="N18:O18"/>
    <mergeCell ref="T18:U18"/>
    <mergeCell ref="K19:L19"/>
    <mergeCell ref="N19:O19"/>
    <mergeCell ref="T19:U19"/>
    <mergeCell ref="P18:Q18"/>
    <mergeCell ref="P19:Q19"/>
    <mergeCell ref="P20:Q20"/>
    <mergeCell ref="P21:Q21"/>
    <mergeCell ref="K13:L14"/>
    <mergeCell ref="M13:M14"/>
    <mergeCell ref="N13:O14"/>
    <mergeCell ref="K16:L16"/>
    <mergeCell ref="N16:O16"/>
    <mergeCell ref="T16:U16"/>
    <mergeCell ref="K17:L17"/>
    <mergeCell ref="N17:O17"/>
    <mergeCell ref="T17:U17"/>
    <mergeCell ref="K15:L15"/>
    <mergeCell ref="N15:O15"/>
    <mergeCell ref="P13:Q14"/>
    <mergeCell ref="P15:Q15"/>
    <mergeCell ref="P16:Q16"/>
    <mergeCell ref="P17:Q17"/>
    <mergeCell ref="G2:I2"/>
    <mergeCell ref="E9:I9"/>
    <mergeCell ref="N9:Q9"/>
    <mergeCell ref="K6:L6"/>
    <mergeCell ref="K7:L7"/>
    <mergeCell ref="K8:L8"/>
    <mergeCell ref="K9:L9"/>
    <mergeCell ref="K10:L10"/>
    <mergeCell ref="K11:L11"/>
    <mergeCell ref="B4:I4"/>
    <mergeCell ref="K4:Q4"/>
    <mergeCell ref="E6:I6"/>
    <mergeCell ref="N6:Q6"/>
    <mergeCell ref="E7:I7"/>
    <mergeCell ref="N7:Q7"/>
    <mergeCell ref="E8:I8"/>
    <mergeCell ref="N8:Q8"/>
    <mergeCell ref="E11:F11"/>
    <mergeCell ref="H11:I11"/>
    <mergeCell ref="N11:O11"/>
    <mergeCell ref="P11:Q11"/>
    <mergeCell ref="E10:I10"/>
    <mergeCell ref="N10:Q10"/>
    <mergeCell ref="B45:C46"/>
    <mergeCell ref="D45:F46"/>
    <mergeCell ref="G45:I46"/>
    <mergeCell ref="G47:I48"/>
    <mergeCell ref="D47:F48"/>
    <mergeCell ref="B47:C48"/>
    <mergeCell ref="B49:C50"/>
    <mergeCell ref="D49:F50"/>
    <mergeCell ref="K56:L56"/>
    <mergeCell ref="K51:L51"/>
    <mergeCell ref="D55:F56"/>
    <mergeCell ref="G55:I56"/>
    <mergeCell ref="K50:L50"/>
    <mergeCell ref="D58:F58"/>
    <mergeCell ref="G49:I50"/>
    <mergeCell ref="B51:C52"/>
    <mergeCell ref="D51:F52"/>
    <mergeCell ref="G51:I52"/>
    <mergeCell ref="B53:C54"/>
    <mergeCell ref="D53:F54"/>
    <mergeCell ref="G53:I54"/>
    <mergeCell ref="B55:C56"/>
    <mergeCell ref="T69:U69"/>
    <mergeCell ref="Y16:Z16"/>
    <mergeCell ref="Y17:Z17"/>
    <mergeCell ref="Y18:Z18"/>
    <mergeCell ref="P51:Q51"/>
    <mergeCell ref="P52:Q52"/>
    <mergeCell ref="P53:Q53"/>
    <mergeCell ref="P54:Q54"/>
    <mergeCell ref="P55:Q55"/>
    <mergeCell ref="P56:Q56"/>
    <mergeCell ref="P42:Q42"/>
    <mergeCell ref="P43:Q43"/>
    <mergeCell ref="P44:Q44"/>
    <mergeCell ref="P45:Q45"/>
    <mergeCell ref="P46:Q46"/>
    <mergeCell ref="P47:Q47"/>
    <mergeCell ref="P48:Q48"/>
    <mergeCell ref="P49:Q49"/>
    <mergeCell ref="P50:Q50"/>
    <mergeCell ref="T42:U42"/>
    <mergeCell ref="T60:U60"/>
    <mergeCell ref="T56:U56"/>
    <mergeCell ref="T46:U46"/>
    <mergeCell ref="T47:U47"/>
  </mergeCells>
  <phoneticPr fontId="29" type="noConversion"/>
  <pageMargins left="0.70866141732283472" right="0.70866141732283472" top="0.82677165354330717" bottom="0.74803149606299213" header="0.31496062992125984" footer="0.31496062992125984"/>
  <pageSetup paperSize="5" scale="64" orientation="portrait" r:id="rId1"/>
  <headerFooter>
    <oddHeader xml:space="preserve">&amp;R&amp;"Century Gothic,Bold"&amp;18ANNEX A: 
SAMPLE PACKAGE COMPUTATION
</oddHeader>
  </headerFooter>
  <colBreaks count="1" manualBreakCount="1">
    <brk id="9" max="82"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1"/>
  <dimension ref="A1:BA126"/>
  <sheetViews>
    <sheetView showGridLines="0" showZeros="0" view="pageLayout" topLeftCell="A10" zoomScale="85" zoomScaleNormal="90" zoomScaleSheetLayoutView="80" zoomScalePageLayoutView="85" workbookViewId="0">
      <selection activeCell="B27" sqref="B27:C27"/>
    </sheetView>
  </sheetViews>
  <sheetFormatPr defaultColWidth="9.1796875" defaultRowHeight="13.5" x14ac:dyDescent="0.25"/>
  <cols>
    <col min="1" max="1" width="1.1796875" style="7" customWidth="1"/>
    <col min="2" max="2" width="12" style="7" customWidth="1"/>
    <col min="3" max="3" width="28.1796875" style="7" customWidth="1"/>
    <col min="4" max="4" width="21" style="101" customWidth="1"/>
    <col min="5" max="5" width="19.81640625" style="7" customWidth="1"/>
    <col min="6" max="6" width="17.1796875" style="7" customWidth="1"/>
    <col min="7" max="7" width="18.81640625" style="7" customWidth="1"/>
    <col min="8" max="8" width="11.1796875" style="7" customWidth="1"/>
    <col min="9" max="9" width="7" style="7" customWidth="1"/>
    <col min="10" max="10" width="0.81640625" style="7" customWidth="1"/>
    <col min="11" max="11" width="9.1796875" style="7"/>
    <col min="12" max="12" width="26" style="7" customWidth="1"/>
    <col min="13" max="13" width="22.1796875" style="235" customWidth="1"/>
    <col min="14" max="14" width="12.1796875" style="7" customWidth="1"/>
    <col min="15" max="16" width="18.81640625" style="7" customWidth="1"/>
    <col min="17" max="17" width="25.81640625" style="7" customWidth="1"/>
    <col min="18" max="18" width="4.81640625" style="7" customWidth="1"/>
    <col min="19" max="19" width="4.453125" style="7" customWidth="1"/>
    <col min="20" max="20" width="30.54296875" style="7" hidden="1" customWidth="1"/>
    <col min="21" max="21" width="2.453125" style="7" hidden="1" customWidth="1"/>
    <col min="22" max="22" width="11.81640625" style="521" hidden="1" customWidth="1"/>
    <col min="23" max="23" width="9.81640625" style="7" hidden="1" customWidth="1"/>
    <col min="24" max="25" width="9.1796875" style="522" hidden="1" customWidth="1"/>
    <col min="26" max="26" width="15.54296875" style="7" hidden="1" customWidth="1"/>
    <col min="27" max="28" width="9.1796875" style="7" customWidth="1"/>
    <col min="29" max="29" width="9.1796875" style="7"/>
    <col min="30" max="31" width="9.1796875" style="7" hidden="1" customWidth="1"/>
    <col min="32" max="16384" width="9.1796875" style="7"/>
  </cols>
  <sheetData>
    <row r="1" spans="1:53" s="105" customFormat="1" ht="12.5" x14ac:dyDescent="0.25">
      <c r="B1" s="239" t="s">
        <v>2</v>
      </c>
      <c r="C1" s="499">
        <f>FORM!I20</f>
        <v>45901</v>
      </c>
      <c r="D1" s="238"/>
      <c r="F1" s="178" t="s">
        <v>91</v>
      </c>
      <c r="G1" s="1206" t="s">
        <v>88</v>
      </c>
      <c r="H1" s="1206"/>
      <c r="I1" s="1206"/>
      <c r="J1" s="107"/>
      <c r="K1" s="239" t="s">
        <v>2</v>
      </c>
      <c r="L1" s="499">
        <f>C1</f>
        <v>45901</v>
      </c>
      <c r="M1" s="630"/>
      <c r="O1" s="631"/>
      <c r="P1" s="178" t="s">
        <v>92</v>
      </c>
      <c r="Q1" s="515" t="s">
        <v>90</v>
      </c>
      <c r="V1" s="516"/>
    </row>
    <row r="2" spans="1:53" s="105" customFormat="1" ht="7.5" customHeight="1" x14ac:dyDescent="0.25">
      <c r="C2" s="106"/>
      <c r="D2" s="106"/>
      <c r="K2" s="183"/>
      <c r="L2" s="183"/>
      <c r="M2" s="183"/>
      <c r="N2" s="183"/>
      <c r="O2" s="183"/>
      <c r="P2" s="183"/>
      <c r="Q2" s="183"/>
      <c r="V2" s="516"/>
    </row>
    <row r="3" spans="1:53" s="105" customFormat="1" ht="14.25" customHeight="1" x14ac:dyDescent="0.25">
      <c r="B3" s="1214" t="str">
        <f>'INTERNAL PRICELIST'!W24</f>
        <v>10% Equity Step-up</v>
      </c>
      <c r="C3" s="1214"/>
      <c r="D3" s="1214"/>
      <c r="E3" s="1214"/>
      <c r="F3" s="1214"/>
      <c r="G3" s="1214"/>
      <c r="H3" s="1214"/>
      <c r="I3" s="1214"/>
      <c r="J3" s="517"/>
      <c r="K3" s="1214" t="s">
        <v>3</v>
      </c>
      <c r="L3" s="1214"/>
      <c r="M3" s="1214"/>
      <c r="N3" s="1214"/>
      <c r="O3" s="1214"/>
      <c r="P3" s="1214"/>
      <c r="Q3" s="1214"/>
      <c r="V3" s="516"/>
    </row>
    <row r="4" spans="1:53" s="105" customFormat="1" ht="12.75" customHeight="1" x14ac:dyDescent="0.25">
      <c r="B4" s="1214"/>
      <c r="C4" s="1214"/>
      <c r="D4" s="1214"/>
      <c r="E4" s="1214"/>
      <c r="F4" s="1214"/>
      <c r="G4" s="1214"/>
      <c r="H4" s="1214"/>
      <c r="I4" s="1214"/>
      <c r="J4" s="517"/>
      <c r="K4" s="1214"/>
      <c r="L4" s="1214"/>
      <c r="M4" s="1214"/>
      <c r="N4" s="1214"/>
      <c r="O4" s="1214"/>
      <c r="P4" s="1214"/>
      <c r="Q4" s="1214"/>
      <c r="V4" s="516"/>
    </row>
    <row r="5" spans="1:53" s="105" customFormat="1" ht="12.75" customHeight="1" x14ac:dyDescent="0.25">
      <c r="B5" s="266"/>
      <c r="C5" s="266"/>
      <c r="D5" s="367"/>
      <c r="E5" s="116"/>
      <c r="F5" s="116"/>
      <c r="G5" s="116"/>
      <c r="H5" s="116"/>
      <c r="I5" s="116"/>
      <c r="J5" s="266"/>
      <c r="K5" s="518"/>
      <c r="L5" s="519"/>
      <c r="M5" s="520"/>
      <c r="N5" s="519"/>
      <c r="O5" s="519"/>
      <c r="P5" s="519"/>
      <c r="Q5" s="520"/>
      <c r="V5" s="516"/>
    </row>
    <row r="6" spans="1:53" s="122" customFormat="1" ht="12.5" x14ac:dyDescent="0.25">
      <c r="A6" s="123"/>
      <c r="B6" s="391" t="s">
        <v>4</v>
      </c>
      <c r="C6" s="392"/>
      <c r="D6" s="194" t="s">
        <v>5</v>
      </c>
      <c r="E6" s="1207" t="str">
        <f>'STANDARD COMP.'!E6:I6</f>
        <v>buyer</v>
      </c>
      <c r="F6" s="1208"/>
      <c r="G6" s="1208"/>
      <c r="H6" s="1208"/>
      <c r="I6" s="1209"/>
      <c r="J6" s="200"/>
      <c r="K6" s="391" t="str">
        <f>B6</f>
        <v>CLIENT'S NAME</v>
      </c>
      <c r="L6" s="396"/>
      <c r="M6" s="194" t="s">
        <v>5</v>
      </c>
      <c r="N6" s="1205" t="str">
        <f>E6</f>
        <v>buyer</v>
      </c>
      <c r="O6" s="1205"/>
      <c r="P6" s="1205"/>
      <c r="Q6" s="1205"/>
      <c r="V6" s="632"/>
      <c r="X6" s="105"/>
      <c r="Y6" s="105"/>
      <c r="AM6" s="383"/>
      <c r="AZ6" s="384"/>
      <c r="BA6" s="385"/>
    </row>
    <row r="7" spans="1:53" s="122" customFormat="1" ht="12.5" x14ac:dyDescent="0.25">
      <c r="A7" s="123"/>
      <c r="B7" s="204" t="s">
        <v>6</v>
      </c>
      <c r="C7" s="393"/>
      <c r="D7" s="194" t="s">
        <v>5</v>
      </c>
      <c r="E7" s="1207" t="str">
        <f>'STANDARD COMP.'!E7:I7</f>
        <v>The Southprime Flats</v>
      </c>
      <c r="F7" s="1208"/>
      <c r="G7" s="1208"/>
      <c r="H7" s="1208"/>
      <c r="I7" s="1209"/>
      <c r="J7" s="200"/>
      <c r="K7" s="391" t="str">
        <f t="shared" ref="K7:K11" si="0">B7</f>
        <v>PROJECT NAME</v>
      </c>
      <c r="L7" s="213"/>
      <c r="M7" s="194" t="s">
        <v>5</v>
      </c>
      <c r="N7" s="1205" t="str">
        <f>E7</f>
        <v>The Southprime Flats</v>
      </c>
      <c r="O7" s="1205"/>
      <c r="P7" s="1205"/>
      <c r="Q7" s="1205"/>
      <c r="V7" s="632"/>
      <c r="X7" s="105"/>
      <c r="Y7" s="105"/>
      <c r="AM7" s="383"/>
      <c r="AZ7" s="384"/>
      <c r="BA7" s="385"/>
    </row>
    <row r="8" spans="1:53" s="122" customFormat="1" ht="12.5" x14ac:dyDescent="0.25">
      <c r="A8" s="123"/>
      <c r="B8" s="391" t="s">
        <v>278</v>
      </c>
      <c r="C8" s="393"/>
      <c r="D8" s="194" t="s">
        <v>5</v>
      </c>
      <c r="E8" s="1207" t="str">
        <f>'STANDARD COMP.'!E8:I8</f>
        <v>GF-B1-12</v>
      </c>
      <c r="F8" s="1208"/>
      <c r="G8" s="1208"/>
      <c r="H8" s="1208"/>
      <c r="I8" s="1209"/>
      <c r="J8" s="200"/>
      <c r="K8" s="391" t="str">
        <f t="shared" si="0"/>
        <v>PARKING SLOT NUMBER</v>
      </c>
      <c r="L8" s="213"/>
      <c r="M8" s="194" t="s">
        <v>5</v>
      </c>
      <c r="N8" s="1205" t="str">
        <f>E8</f>
        <v>GF-B1-12</v>
      </c>
      <c r="O8" s="1205"/>
      <c r="P8" s="1205"/>
      <c r="Q8" s="1205"/>
      <c r="V8" s="632"/>
      <c r="X8" s="105"/>
      <c r="Y8" s="105"/>
      <c r="AM8" s="383"/>
      <c r="AZ8" s="384"/>
      <c r="BA8" s="385"/>
    </row>
    <row r="9" spans="1:53" s="122" customFormat="1" ht="12.5" x14ac:dyDescent="0.25">
      <c r="A9" s="123"/>
      <c r="B9" s="204" t="s">
        <v>315</v>
      </c>
      <c r="C9" s="393"/>
      <c r="D9" s="194" t="s">
        <v>5</v>
      </c>
      <c r="E9" s="1207" t="str">
        <f>'STANDARD COMP.'!E9:I9</f>
        <v>Building 1</v>
      </c>
      <c r="F9" s="1208"/>
      <c r="G9" s="1208"/>
      <c r="H9" s="1208"/>
      <c r="I9" s="1209"/>
      <c r="J9" s="200"/>
      <c r="K9" s="391" t="str">
        <f t="shared" si="0"/>
        <v>BUILDING</v>
      </c>
      <c r="L9" s="213"/>
      <c r="M9" s="194" t="s">
        <v>5</v>
      </c>
      <c r="N9" s="1205" t="str">
        <f>[1]FORM!I14</f>
        <v>TOWER 1</v>
      </c>
      <c r="O9" s="1205"/>
      <c r="P9" s="1205"/>
      <c r="Q9" s="1205"/>
      <c r="V9" s="632"/>
      <c r="X9" s="105"/>
      <c r="Y9" s="105"/>
      <c r="AM9" s="383"/>
      <c r="AZ9" s="384"/>
      <c r="BA9" s="385"/>
    </row>
    <row r="10" spans="1:53" s="122" customFormat="1" ht="12.5" x14ac:dyDescent="0.25">
      <c r="A10" s="123"/>
      <c r="B10" s="204" t="s">
        <v>279</v>
      </c>
      <c r="C10" s="393"/>
      <c r="D10" s="194" t="s">
        <v>5</v>
      </c>
      <c r="E10" s="1207" t="str">
        <f>'STANDARD COMP.'!E10:I10</f>
        <v>Single Slot</v>
      </c>
      <c r="F10" s="1208"/>
      <c r="G10" s="1208"/>
      <c r="H10" s="1208"/>
      <c r="I10" s="1209"/>
      <c r="J10" s="200"/>
      <c r="K10" s="391" t="str">
        <f t="shared" si="0"/>
        <v>PARKING MODEL</v>
      </c>
      <c r="L10" s="213"/>
      <c r="M10" s="194" t="s">
        <v>5</v>
      </c>
      <c r="N10" s="1205" t="str">
        <f>E10</f>
        <v>Single Slot</v>
      </c>
      <c r="O10" s="1205"/>
      <c r="P10" s="1205"/>
      <c r="Q10" s="1205"/>
      <c r="V10" s="632"/>
      <c r="X10" s="105"/>
      <c r="Y10" s="105"/>
      <c r="AM10" s="383"/>
      <c r="AZ10" s="384"/>
      <c r="BA10" s="385"/>
    </row>
    <row r="11" spans="1:53" s="122" customFormat="1" ht="12.5" x14ac:dyDescent="0.25">
      <c r="A11" s="123"/>
      <c r="B11" s="204" t="s">
        <v>280</v>
      </c>
      <c r="C11" s="393"/>
      <c r="D11" s="194" t="s">
        <v>5</v>
      </c>
      <c r="E11" s="1217">
        <f>'STANDARD COMP.'!E11:F11</f>
        <v>13.5</v>
      </c>
      <c r="F11" s="1218"/>
      <c r="G11" s="1219" t="s">
        <v>11</v>
      </c>
      <c r="H11" s="1219"/>
      <c r="I11" s="1220"/>
      <c r="J11" s="200"/>
      <c r="K11" s="391" t="str">
        <f t="shared" si="0"/>
        <v>TOTAL AREA</v>
      </c>
      <c r="L11" s="213"/>
      <c r="M11" s="194" t="s">
        <v>5</v>
      </c>
      <c r="N11" s="1260">
        <f>E11</f>
        <v>13.5</v>
      </c>
      <c r="O11" s="1261"/>
      <c r="P11" s="1262" t="s">
        <v>11</v>
      </c>
      <c r="Q11" s="1263"/>
      <c r="V11" s="632"/>
      <c r="X11" s="105"/>
      <c r="Y11" s="105"/>
      <c r="AM11" s="383"/>
      <c r="AZ11" s="384"/>
      <c r="BA11" s="385"/>
    </row>
    <row r="12" spans="1:53" s="122" customFormat="1" ht="12.5" x14ac:dyDescent="0.25">
      <c r="B12" s="123"/>
      <c r="C12" s="123"/>
      <c r="D12" s="194"/>
      <c r="E12" s="123"/>
      <c r="F12" s="123"/>
      <c r="G12" s="123"/>
      <c r="H12" s="123"/>
      <c r="I12" s="123"/>
      <c r="M12" s="248"/>
      <c r="V12" s="632"/>
      <c r="X12" s="105"/>
      <c r="Y12" s="105"/>
    </row>
    <row r="13" spans="1:53" s="122" customFormat="1" ht="12.5" x14ac:dyDescent="0.25">
      <c r="B13" s="198" t="s">
        <v>16</v>
      </c>
      <c r="C13" s="392"/>
      <c r="D13" s="200" t="s">
        <v>5</v>
      </c>
      <c r="E13" s="201"/>
      <c r="F13" s="1264">
        <f>'STANDARD COMP.'!F13:I13</f>
        <v>832787.56226250005</v>
      </c>
      <c r="G13" s="1264"/>
      <c r="H13" s="1264"/>
      <c r="I13" s="1265"/>
      <c r="J13" s="8"/>
      <c r="K13" s="1221" t="s">
        <v>12</v>
      </c>
      <c r="L13" s="1221"/>
      <c r="M13" s="1222" t="s">
        <v>13</v>
      </c>
      <c r="N13" s="1221" t="s">
        <v>14</v>
      </c>
      <c r="O13" s="1221"/>
      <c r="P13" s="1224" t="s">
        <v>15</v>
      </c>
      <c r="Q13" s="1225"/>
      <c r="V13" s="632"/>
      <c r="X13" s="105"/>
      <c r="Y13" s="105"/>
    </row>
    <row r="14" spans="1:53" s="8" customFormat="1" ht="12.5" x14ac:dyDescent="0.25">
      <c r="B14" s="204" t="s">
        <v>167</v>
      </c>
      <c r="C14" s="213"/>
      <c r="D14" s="194" t="s">
        <v>5</v>
      </c>
      <c r="E14" s="633"/>
      <c r="F14" s="1264">
        <f>'STANDARD COMP.'!F14:I14</f>
        <v>0</v>
      </c>
      <c r="G14" s="1264"/>
      <c r="H14" s="1264"/>
      <c r="I14" s="1265"/>
      <c r="J14" s="122"/>
      <c r="K14" s="1221"/>
      <c r="L14" s="1221"/>
      <c r="M14" s="1222"/>
      <c r="N14" s="1221"/>
      <c r="O14" s="1221"/>
      <c r="P14" s="1226"/>
      <c r="Q14" s="1227"/>
      <c r="V14" s="634"/>
      <c r="W14" s="8">
        <f>SUM(F27:F29)</f>
        <v>0</v>
      </c>
      <c r="X14" s="635"/>
      <c r="Y14" s="635"/>
    </row>
    <row r="15" spans="1:53" s="122" customFormat="1" ht="12.5" x14ac:dyDescent="0.25">
      <c r="B15" s="171" t="s">
        <v>19</v>
      </c>
      <c r="C15" s="130"/>
      <c r="D15" s="200" t="s">
        <v>5</v>
      </c>
      <c r="E15" s="636"/>
      <c r="F15" s="1266">
        <f>F13-F14</f>
        <v>832787.56226250005</v>
      </c>
      <c r="G15" s="1264"/>
      <c r="H15" s="1264"/>
      <c r="I15" s="1265"/>
      <c r="J15" s="8"/>
      <c r="K15" s="1205" t="s">
        <v>17</v>
      </c>
      <c r="L15" s="1205"/>
      <c r="M15" s="404">
        <f>C1</f>
        <v>45901</v>
      </c>
      <c r="N15" s="1223">
        <f>F23</f>
        <v>10000</v>
      </c>
      <c r="O15" s="1223"/>
      <c r="P15" s="1189"/>
      <c r="Q15" s="1190"/>
      <c r="T15" s="1267" t="s">
        <v>227</v>
      </c>
      <c r="U15" s="1268"/>
      <c r="V15" s="637">
        <f>C1</f>
        <v>45901</v>
      </c>
      <c r="W15" s="632">
        <f>EDATE(V15,W14)</f>
        <v>45901</v>
      </c>
      <c r="X15" s="105"/>
      <c r="Y15" s="105"/>
    </row>
    <row r="16" spans="1:53" s="8" customFormat="1" ht="12.5" x14ac:dyDescent="0.25">
      <c r="B16" s="210"/>
      <c r="C16" s="123"/>
      <c r="D16" s="194"/>
      <c r="E16" s="395"/>
      <c r="F16" s="638"/>
      <c r="G16" s="638"/>
      <c r="H16" s="638"/>
      <c r="I16" s="639"/>
      <c r="J16" s="122"/>
      <c r="K16" s="1205">
        <f t="shared" ref="K16:K55" si="1">IF(N16&gt;1,T16,0)</f>
        <v>0</v>
      </c>
      <c r="L16" s="1205"/>
      <c r="M16" s="524" t="str">
        <f t="shared" ref="M16:M70" si="2">IF(N16&gt;1,V16,"")</f>
        <v/>
      </c>
      <c r="N16" s="1269"/>
      <c r="O16" s="1269"/>
      <c r="P16" s="1189"/>
      <c r="Q16" s="1190"/>
      <c r="T16" s="1205" t="s">
        <v>219</v>
      </c>
      <c r="U16" s="1205"/>
      <c r="V16" s="640">
        <f>IF(DAY(V15)=31,X19,Z19)</f>
        <v>45935</v>
      </c>
      <c r="X16" s="6"/>
      <c r="Y16" s="6"/>
    </row>
    <row r="17" spans="1:31" s="122" customFormat="1" ht="13" x14ac:dyDescent="0.3">
      <c r="B17" s="213" t="s">
        <v>23</v>
      </c>
      <c r="C17" s="213"/>
      <c r="D17" s="194" t="s">
        <v>5</v>
      </c>
      <c r="E17" s="214">
        <v>0.12</v>
      </c>
      <c r="F17" s="1274">
        <f>'STANDARD COMP.'!F17:I17</f>
        <v>99934.507471500008</v>
      </c>
      <c r="G17" s="1275"/>
      <c r="H17" s="1275"/>
      <c r="I17" s="1276"/>
      <c r="K17" s="1205">
        <f t="shared" si="1"/>
        <v>0</v>
      </c>
      <c r="L17" s="1205"/>
      <c r="M17" s="524" t="str">
        <f t="shared" si="2"/>
        <v/>
      </c>
      <c r="N17" s="1269"/>
      <c r="O17" s="1269"/>
      <c r="P17" s="1189"/>
      <c r="Q17" s="1190"/>
      <c r="T17" s="1189" t="s">
        <v>21</v>
      </c>
      <c r="U17" s="1190"/>
      <c r="V17" s="641">
        <f t="shared" ref="V17:V70" si="3">IF(AND(DAY(V16)&gt;=6,DAY(V16)&lt;=20),DATE(YEAR(V16),MONTH(V16)+1,DAY(20)),IF(AND(DAY(V16)&gt;=21,DAY(V16)&lt;=30),DATE(YEAR(V16),MONTH(V16)+1,IF(DAY(EOMONTH(V16,1))&lt;30,DAY(EOMONTH(V16,1)),DAY(30))),DATE(YEAR(V16),MONTH(V16)+1,DAY(5))))</f>
        <v>45966</v>
      </c>
      <c r="X17" s="1277" t="s">
        <v>228</v>
      </c>
      <c r="Y17" s="1277"/>
      <c r="AD17" s="1189"/>
      <c r="AE17" s="1190"/>
    </row>
    <row r="18" spans="1:31" s="122" customFormat="1" ht="12.5" x14ac:dyDescent="0.25">
      <c r="B18" s="410" t="s">
        <v>25</v>
      </c>
      <c r="C18" s="166"/>
      <c r="D18" s="194" t="s">
        <v>5</v>
      </c>
      <c r="E18" s="642">
        <v>0.1</v>
      </c>
      <c r="F18" s="1272">
        <f>E18*F13</f>
        <v>83278.756226250014</v>
      </c>
      <c r="G18" s="1272"/>
      <c r="H18" s="1272"/>
      <c r="I18" s="1273"/>
      <c r="K18" s="1205">
        <f t="shared" si="1"/>
        <v>0</v>
      </c>
      <c r="L18" s="1205"/>
      <c r="M18" s="524" t="str">
        <f t="shared" si="2"/>
        <v/>
      </c>
      <c r="N18" s="1269"/>
      <c r="O18" s="1269"/>
      <c r="P18" s="1189"/>
      <c r="Q18" s="1190"/>
      <c r="T18" s="1205" t="s">
        <v>22</v>
      </c>
      <c r="U18" s="1205"/>
      <c r="V18" s="641">
        <f t="shared" si="3"/>
        <v>45996</v>
      </c>
      <c r="W18" s="643" t="s">
        <v>229</v>
      </c>
      <c r="X18" s="1270" t="b">
        <f>IF(DAY(V15)=31,DATE(YEAR(W15),MONTH(W15)+2,DAY(5)))</f>
        <v>0</v>
      </c>
      <c r="Y18" s="1271"/>
      <c r="Z18" s="644">
        <f>IF(AND(DAY(W15)&gt;=6,DAY(W15)&lt;=20),DATE(YEAR(W15),MONTH(W15)+1,DAY(20)),IF(AND(DAY(W15)&gt;=21,DAY(W15)&lt;=31),DATE(YEAR(W15),MONTH(W15)+1,IF(DAY(EOMONTH(W15,1))&lt;30,DAY(EOMONTH(W15,1)),DAY(30))),DATE(YEAR(W15),MONTH(W15)+1,DAY(5))))</f>
        <v>45935</v>
      </c>
      <c r="AD18" s="1189"/>
      <c r="AE18" s="1190"/>
    </row>
    <row r="19" spans="1:31" s="122" customFormat="1" ht="12.5" x14ac:dyDescent="0.25">
      <c r="B19" s="210"/>
      <c r="C19" s="123"/>
      <c r="D19" s="194"/>
      <c r="E19" s="645"/>
      <c r="F19" s="646"/>
      <c r="G19" s="647"/>
      <c r="H19" s="647"/>
      <c r="I19" s="215"/>
      <c r="K19" s="1205">
        <f t="shared" si="1"/>
        <v>0</v>
      </c>
      <c r="L19" s="1205"/>
      <c r="M19" s="524" t="str">
        <f t="shared" si="2"/>
        <v/>
      </c>
      <c r="N19" s="1269"/>
      <c r="O19" s="1269"/>
      <c r="P19" s="1189"/>
      <c r="Q19" s="1190"/>
      <c r="T19" s="1205" t="s">
        <v>24</v>
      </c>
      <c r="U19" s="1205"/>
      <c r="V19" s="641">
        <f t="shared" si="3"/>
        <v>46027</v>
      </c>
      <c r="W19" s="643" t="s">
        <v>230</v>
      </c>
      <c r="X19" s="1270" t="b">
        <f>IF(DAY(V15)=31,DATE(YEAR(V15),MONTH(V15)+2,DAY(5)))</f>
        <v>0</v>
      </c>
      <c r="Y19" s="1271"/>
      <c r="Z19" s="644">
        <f>IF(AND(DAY(V15)&gt;=6,DAY(V15)&lt;=20),DATE(YEAR(V15),MONTH(V15)+1,DAY(20)),IF(AND(DAY(V15)&gt;=21,DAY(V15)&lt;=30),DATE(YEAR(V15),MONTH(V15)+1,IF(DAY(EOMONTH(V15,1))&lt;31,DAY(EOMONTH(V15,1)),DAY(30))),DATE(YEAR(V15),MONTH(V15)+1,DAY(5))))</f>
        <v>45935</v>
      </c>
      <c r="AD19" s="1189"/>
      <c r="AE19" s="1190"/>
    </row>
    <row r="20" spans="1:31" s="122" customFormat="1" ht="13" x14ac:dyDescent="0.3">
      <c r="B20" s="171" t="s">
        <v>28</v>
      </c>
      <c r="C20" s="130"/>
      <c r="D20" s="200" t="s">
        <v>5</v>
      </c>
      <c r="E20" s="488"/>
      <c r="F20" s="1278">
        <f>SUM(F17:I18,F15)</f>
        <v>1016000.8259602501</v>
      </c>
      <c r="G20" s="1278"/>
      <c r="H20" s="1278"/>
      <c r="I20" s="1279"/>
      <c r="K20" s="1205">
        <f t="shared" si="1"/>
        <v>0</v>
      </c>
      <c r="L20" s="1205"/>
      <c r="M20" s="524" t="str">
        <f t="shared" si="2"/>
        <v/>
      </c>
      <c r="N20" s="1269"/>
      <c r="O20" s="1269"/>
      <c r="P20" s="1189"/>
      <c r="Q20" s="1190"/>
      <c r="T20" s="1205" t="s">
        <v>26</v>
      </c>
      <c r="U20" s="1205"/>
      <c r="V20" s="641">
        <f t="shared" si="3"/>
        <v>46058</v>
      </c>
      <c r="X20" s="1277"/>
      <c r="Y20" s="1277"/>
      <c r="AD20" s="1189"/>
      <c r="AE20" s="1190"/>
    </row>
    <row r="21" spans="1:31" s="122" customFormat="1" ht="13" x14ac:dyDescent="0.3">
      <c r="A21" s="8"/>
      <c r="B21" s="210"/>
      <c r="C21" s="123"/>
      <c r="D21" s="194"/>
      <c r="E21" s="194"/>
      <c r="F21" s="212"/>
      <c r="G21" s="212"/>
      <c r="H21" s="212"/>
      <c r="I21" s="123"/>
      <c r="J21" s="8"/>
      <c r="K21" s="1205">
        <f t="shared" si="1"/>
        <v>0</v>
      </c>
      <c r="L21" s="1205"/>
      <c r="M21" s="524" t="str">
        <f t="shared" si="2"/>
        <v/>
      </c>
      <c r="N21" s="1269"/>
      <c r="O21" s="1269"/>
      <c r="P21" s="1189"/>
      <c r="Q21" s="1190"/>
      <c r="T21" s="1205" t="s">
        <v>27</v>
      </c>
      <c r="U21" s="1205"/>
      <c r="V21" s="641">
        <f t="shared" si="3"/>
        <v>46086</v>
      </c>
      <c r="X21" s="1277"/>
      <c r="Y21" s="1277"/>
      <c r="AD21" s="1189"/>
      <c r="AE21" s="1190"/>
    </row>
    <row r="22" spans="1:31" s="8" customFormat="1" ht="13" x14ac:dyDescent="0.3">
      <c r="A22" s="122"/>
      <c r="B22" s="171" t="s">
        <v>32</v>
      </c>
      <c r="C22" s="392"/>
      <c r="D22" s="200" t="s">
        <v>5</v>
      </c>
      <c r="E22" s="485">
        <f>'STANDARD COMP.'!E22</f>
        <v>0.15</v>
      </c>
      <c r="F22" s="1266">
        <f>F20*E22</f>
        <v>152400.1238940375</v>
      </c>
      <c r="G22" s="1264"/>
      <c r="H22" s="1264"/>
      <c r="I22" s="1265"/>
      <c r="J22" s="122"/>
      <c r="K22" s="1205">
        <f t="shared" si="1"/>
        <v>0</v>
      </c>
      <c r="L22" s="1205"/>
      <c r="M22" s="524" t="str">
        <f t="shared" si="2"/>
        <v/>
      </c>
      <c r="N22" s="1269"/>
      <c r="O22" s="1269"/>
      <c r="P22" s="1189"/>
      <c r="Q22" s="1190"/>
      <c r="T22" s="1205" t="s">
        <v>29</v>
      </c>
      <c r="U22" s="1205"/>
      <c r="V22" s="641">
        <f t="shared" si="3"/>
        <v>46117</v>
      </c>
      <c r="X22" s="1277"/>
      <c r="Y22" s="1277"/>
      <c r="AD22" s="1189"/>
      <c r="AE22" s="1190"/>
    </row>
    <row r="23" spans="1:31" s="122" customFormat="1" ht="13" x14ac:dyDescent="0.3">
      <c r="B23" s="204" t="s">
        <v>224</v>
      </c>
      <c r="C23" s="213"/>
      <c r="D23" s="194" t="s">
        <v>5</v>
      </c>
      <c r="E23" s="414"/>
      <c r="F23" s="1274">
        <f>'STANDARD COMP.'!F23</f>
        <v>10000</v>
      </c>
      <c r="G23" s="1275"/>
      <c r="H23" s="1275"/>
      <c r="I23" s="1276"/>
      <c r="K23" s="1205">
        <f t="shared" si="1"/>
        <v>0</v>
      </c>
      <c r="L23" s="1205"/>
      <c r="M23" s="524" t="str">
        <f t="shared" si="2"/>
        <v/>
      </c>
      <c r="N23" s="1269"/>
      <c r="O23" s="1269"/>
      <c r="P23" s="1189"/>
      <c r="Q23" s="1190"/>
      <c r="T23" s="1205" t="s">
        <v>30</v>
      </c>
      <c r="U23" s="1205"/>
      <c r="V23" s="641">
        <f t="shared" si="3"/>
        <v>46147</v>
      </c>
      <c r="X23" s="1277"/>
      <c r="Y23" s="1277"/>
      <c r="AD23" s="1189"/>
      <c r="AE23" s="1190"/>
    </row>
    <row r="24" spans="1:31" s="122" customFormat="1" ht="13" x14ac:dyDescent="0.3">
      <c r="A24" s="8"/>
      <c r="B24" s="171" t="s">
        <v>177</v>
      </c>
      <c r="C24" s="130"/>
      <c r="D24" s="200" t="s">
        <v>5</v>
      </c>
      <c r="E24" s="411"/>
      <c r="F24" s="1266">
        <f>F22-F23</f>
        <v>142400.1238940375</v>
      </c>
      <c r="G24" s="1264"/>
      <c r="H24" s="1264"/>
      <c r="I24" s="1265"/>
      <c r="J24" s="8"/>
      <c r="K24" s="1205">
        <f t="shared" si="1"/>
        <v>0</v>
      </c>
      <c r="L24" s="1205"/>
      <c r="M24" s="524" t="str">
        <f t="shared" si="2"/>
        <v/>
      </c>
      <c r="N24" s="1269"/>
      <c r="O24" s="1269"/>
      <c r="P24" s="1189"/>
      <c r="Q24" s="1190"/>
      <c r="T24" s="1205" t="s">
        <v>31</v>
      </c>
      <c r="U24" s="1205"/>
      <c r="V24" s="641">
        <f t="shared" si="3"/>
        <v>46178</v>
      </c>
      <c r="X24" s="1277"/>
      <c r="Y24" s="1277"/>
      <c r="AD24" s="1189"/>
      <c r="AE24" s="1190"/>
    </row>
    <row r="25" spans="1:31" s="8" customFormat="1" ht="13" x14ac:dyDescent="0.3">
      <c r="B25" s="210"/>
      <c r="C25" s="123"/>
      <c r="D25" s="194"/>
      <c r="E25" s="194"/>
      <c r="F25" s="212"/>
      <c r="G25" s="212"/>
      <c r="H25" s="212"/>
      <c r="I25" s="125"/>
      <c r="J25" s="648"/>
      <c r="K25" s="1205">
        <f t="shared" si="1"/>
        <v>0</v>
      </c>
      <c r="L25" s="1205"/>
      <c r="M25" s="524" t="str">
        <f t="shared" si="2"/>
        <v/>
      </c>
      <c r="N25" s="1269"/>
      <c r="O25" s="1269"/>
      <c r="P25" s="1189"/>
      <c r="Q25" s="1190"/>
      <c r="R25" s="8" t="s">
        <v>1</v>
      </c>
      <c r="T25" s="1205" t="s">
        <v>33</v>
      </c>
      <c r="U25" s="1205"/>
      <c r="V25" s="641">
        <f t="shared" si="3"/>
        <v>46208</v>
      </c>
      <c r="X25" s="1277"/>
      <c r="Y25" s="1277"/>
      <c r="AD25" s="1189"/>
      <c r="AE25" s="1190"/>
    </row>
    <row r="26" spans="1:31" s="8" customFormat="1" ht="13" x14ac:dyDescent="0.3">
      <c r="B26" s="1282" t="s">
        <v>217</v>
      </c>
      <c r="C26" s="1282"/>
      <c r="D26" s="200"/>
      <c r="E26" s="649" t="s">
        <v>218</v>
      </c>
      <c r="F26" s="650" t="s">
        <v>215</v>
      </c>
      <c r="G26" s="1283" t="s">
        <v>216</v>
      </c>
      <c r="H26" s="1283"/>
      <c r="I26" s="1283"/>
      <c r="K26" s="1205">
        <f t="shared" si="1"/>
        <v>0</v>
      </c>
      <c r="L26" s="1205"/>
      <c r="M26" s="524" t="str">
        <f t="shared" si="2"/>
        <v/>
      </c>
      <c r="N26" s="1269"/>
      <c r="O26" s="1269"/>
      <c r="P26" s="1189"/>
      <c r="Q26" s="1190"/>
      <c r="T26" s="1205" t="s">
        <v>34</v>
      </c>
      <c r="U26" s="1205"/>
      <c r="V26" s="641">
        <f t="shared" si="3"/>
        <v>46239</v>
      </c>
      <c r="X26" s="1277"/>
      <c r="Y26" s="1277"/>
      <c r="AD26" s="1189"/>
      <c r="AE26" s="1190"/>
    </row>
    <row r="27" spans="1:31" s="8" customFormat="1" ht="13" x14ac:dyDescent="0.3">
      <c r="A27" s="122"/>
      <c r="B27" s="1280">
        <f>FORM!K39</f>
        <v>0</v>
      </c>
      <c r="C27" s="1280"/>
      <c r="D27" s="200" t="s">
        <v>5</v>
      </c>
      <c r="E27" s="651">
        <f>FORM!T39</f>
        <v>0.25</v>
      </c>
      <c r="F27" s="652">
        <f>FORM!P39</f>
        <v>0</v>
      </c>
      <c r="G27" s="1281" t="e">
        <f>F24*E27/F27</f>
        <v>#DIV/0!</v>
      </c>
      <c r="H27" s="1281"/>
      <c r="I27" s="1281"/>
      <c r="J27" s="122"/>
      <c r="K27" s="1205">
        <f t="shared" si="1"/>
        <v>0</v>
      </c>
      <c r="L27" s="1205"/>
      <c r="M27" s="524" t="str">
        <f t="shared" si="2"/>
        <v/>
      </c>
      <c r="N27" s="1269"/>
      <c r="O27" s="1269"/>
      <c r="P27" s="1189"/>
      <c r="Q27" s="1190"/>
      <c r="T27" s="1205" t="s">
        <v>35</v>
      </c>
      <c r="U27" s="1205"/>
      <c r="V27" s="641">
        <f t="shared" si="3"/>
        <v>46270</v>
      </c>
      <c r="X27" s="1277"/>
      <c r="Y27" s="1277"/>
      <c r="AD27" s="1189"/>
      <c r="AE27" s="1190"/>
    </row>
    <row r="28" spans="1:31" s="122" customFormat="1" ht="13" x14ac:dyDescent="0.3">
      <c r="A28" s="8"/>
      <c r="B28" s="1280">
        <f>FORM!K40</f>
        <v>0</v>
      </c>
      <c r="C28" s="1280"/>
      <c r="D28" s="200" t="s">
        <v>5</v>
      </c>
      <c r="E28" s="651">
        <f>FORM!T40</f>
        <v>0.35</v>
      </c>
      <c r="F28" s="652">
        <f>FORM!P40</f>
        <v>0</v>
      </c>
      <c r="G28" s="1281" t="e">
        <f>F24*E28/F28</f>
        <v>#DIV/0!</v>
      </c>
      <c r="H28" s="1281"/>
      <c r="I28" s="1281"/>
      <c r="J28" s="8"/>
      <c r="K28" s="1205">
        <f t="shared" si="1"/>
        <v>0</v>
      </c>
      <c r="L28" s="1205"/>
      <c r="M28" s="524" t="str">
        <f t="shared" si="2"/>
        <v/>
      </c>
      <c r="N28" s="1269"/>
      <c r="O28" s="1269"/>
      <c r="P28" s="1189"/>
      <c r="Q28" s="1190"/>
      <c r="R28" s="8"/>
      <c r="S28" s="8"/>
      <c r="T28" s="1205" t="s">
        <v>37</v>
      </c>
      <c r="U28" s="1205"/>
      <c r="V28" s="641">
        <f t="shared" si="3"/>
        <v>46300</v>
      </c>
      <c r="X28" s="1277"/>
      <c r="Y28" s="1277"/>
      <c r="AD28" s="1189"/>
      <c r="AE28" s="1190"/>
    </row>
    <row r="29" spans="1:31" s="8" customFormat="1" ht="13" x14ac:dyDescent="0.3">
      <c r="A29" s="122"/>
      <c r="B29" s="1280">
        <f>FORM!K41</f>
        <v>0</v>
      </c>
      <c r="C29" s="1280"/>
      <c r="D29" s="200" t="s">
        <v>5</v>
      </c>
      <c r="E29" s="651">
        <f>FORM!T41</f>
        <v>0.4</v>
      </c>
      <c r="F29" s="652">
        <f>FORM!P41</f>
        <v>0</v>
      </c>
      <c r="G29" s="1281" t="e">
        <f>F24*E29/F29</f>
        <v>#DIV/0!</v>
      </c>
      <c r="H29" s="1281"/>
      <c r="I29" s="1281"/>
      <c r="J29" s="122"/>
      <c r="K29" s="1205">
        <f t="shared" si="1"/>
        <v>0</v>
      </c>
      <c r="L29" s="1205"/>
      <c r="M29" s="524" t="str">
        <f t="shared" si="2"/>
        <v/>
      </c>
      <c r="N29" s="1269"/>
      <c r="O29" s="1269"/>
      <c r="P29" s="1189"/>
      <c r="Q29" s="1190"/>
      <c r="T29" s="1205" t="s">
        <v>38</v>
      </c>
      <c r="U29" s="1205"/>
      <c r="V29" s="641">
        <f t="shared" si="3"/>
        <v>46331</v>
      </c>
      <c r="X29" s="1277"/>
      <c r="Y29" s="1277"/>
      <c r="AD29" s="1189"/>
      <c r="AE29" s="1190"/>
    </row>
    <row r="30" spans="1:31" s="122" customFormat="1" ht="13" x14ac:dyDescent="0.3">
      <c r="A30" s="8"/>
      <c r="B30" s="269"/>
      <c r="C30" s="269"/>
      <c r="D30" s="194"/>
      <c r="E30" s="194"/>
      <c r="F30" s="653">
        <f>SUM(F27:F29)</f>
        <v>0</v>
      </c>
      <c r="G30" s="267"/>
      <c r="H30" s="267"/>
      <c r="I30" s="123"/>
      <c r="J30" s="8"/>
      <c r="K30" s="1205">
        <f t="shared" si="1"/>
        <v>0</v>
      </c>
      <c r="L30" s="1205"/>
      <c r="M30" s="524" t="str">
        <f t="shared" si="2"/>
        <v/>
      </c>
      <c r="N30" s="1269"/>
      <c r="O30" s="1269"/>
      <c r="P30" s="1189"/>
      <c r="Q30" s="1190"/>
      <c r="R30" s="8"/>
      <c r="S30" s="8"/>
      <c r="T30" s="1205" t="s">
        <v>39</v>
      </c>
      <c r="U30" s="1205"/>
      <c r="V30" s="641">
        <f t="shared" si="3"/>
        <v>46361</v>
      </c>
      <c r="X30" s="1277"/>
      <c r="Y30" s="1277"/>
      <c r="AD30" s="1189"/>
      <c r="AE30" s="1190"/>
    </row>
    <row r="31" spans="1:31" s="8" customFormat="1" ht="13" x14ac:dyDescent="0.3">
      <c r="A31" s="122"/>
      <c r="B31" s="171" t="s">
        <v>44</v>
      </c>
      <c r="C31" s="130"/>
      <c r="D31" s="200" t="s">
        <v>5</v>
      </c>
      <c r="E31" s="485">
        <f>100%-E22</f>
        <v>0.85</v>
      </c>
      <c r="F31" s="1266">
        <f>F20*E31</f>
        <v>863600.70206621254</v>
      </c>
      <c r="G31" s="1264"/>
      <c r="H31" s="1264"/>
      <c r="I31" s="1265"/>
      <c r="J31" s="122"/>
      <c r="K31" s="1205">
        <f t="shared" si="1"/>
        <v>0</v>
      </c>
      <c r="L31" s="1205"/>
      <c r="M31" s="524" t="str">
        <f t="shared" si="2"/>
        <v/>
      </c>
      <c r="N31" s="1269"/>
      <c r="O31" s="1269"/>
      <c r="P31" s="1189"/>
      <c r="Q31" s="1190"/>
      <c r="T31" s="1205" t="s">
        <v>41</v>
      </c>
      <c r="U31" s="1205"/>
      <c r="V31" s="641">
        <f t="shared" si="3"/>
        <v>46392</v>
      </c>
      <c r="X31" s="1277"/>
      <c r="Y31" s="1277"/>
      <c r="AD31" s="1189"/>
      <c r="AE31" s="1190"/>
    </row>
    <row r="32" spans="1:31" s="122" customFormat="1" ht="13" x14ac:dyDescent="0.3">
      <c r="B32" s="210"/>
      <c r="C32" s="123"/>
      <c r="D32" s="194"/>
      <c r="E32" s="123"/>
      <c r="F32" s="123"/>
      <c r="G32" s="123"/>
      <c r="H32" s="123"/>
      <c r="I32" s="123"/>
      <c r="K32" s="1205">
        <f t="shared" si="1"/>
        <v>0</v>
      </c>
      <c r="L32" s="1205"/>
      <c r="M32" s="524" t="str">
        <f t="shared" si="2"/>
        <v/>
      </c>
      <c r="N32" s="1269"/>
      <c r="O32" s="1269"/>
      <c r="P32" s="1189"/>
      <c r="Q32" s="1190"/>
      <c r="T32" s="1205" t="s">
        <v>42</v>
      </c>
      <c r="U32" s="1205"/>
      <c r="V32" s="641">
        <f t="shared" si="3"/>
        <v>46423</v>
      </c>
      <c r="X32" s="1277"/>
      <c r="Y32" s="1277"/>
      <c r="AD32" s="1189"/>
      <c r="AE32" s="1190"/>
    </row>
    <row r="33" spans="1:31" s="122" customFormat="1" ht="13" x14ac:dyDescent="0.3">
      <c r="A33" s="8"/>
      <c r="B33" s="130" t="s">
        <v>48</v>
      </c>
      <c r="C33" s="130"/>
      <c r="D33" s="269"/>
      <c r="E33" s="269"/>
      <c r="F33" s="269"/>
      <c r="G33" s="269"/>
      <c r="H33" s="269"/>
      <c r="I33" s="269"/>
      <c r="J33" s="8"/>
      <c r="K33" s="1205">
        <f t="shared" si="1"/>
        <v>0</v>
      </c>
      <c r="L33" s="1205"/>
      <c r="M33" s="524" t="str">
        <f t="shared" si="2"/>
        <v/>
      </c>
      <c r="N33" s="1269"/>
      <c r="O33" s="1269"/>
      <c r="P33" s="1189"/>
      <c r="Q33" s="1190"/>
      <c r="T33" s="1205" t="s">
        <v>43</v>
      </c>
      <c r="U33" s="1205"/>
      <c r="V33" s="641">
        <f t="shared" si="3"/>
        <v>46451</v>
      </c>
      <c r="X33" s="1277"/>
      <c r="Y33" s="1277"/>
      <c r="AD33" s="1189"/>
      <c r="AE33" s="1190"/>
    </row>
    <row r="34" spans="1:31" s="8" customFormat="1" ht="13" x14ac:dyDescent="0.3">
      <c r="A34" s="122"/>
      <c r="B34" s="762"/>
      <c r="C34" s="762"/>
      <c r="D34" s="269"/>
      <c r="E34" s="269"/>
      <c r="F34" s="269"/>
      <c r="G34" s="269"/>
      <c r="H34" s="269"/>
      <c r="I34" s="269"/>
      <c r="J34" s="122"/>
      <c r="K34" s="1205">
        <f t="shared" si="1"/>
        <v>0</v>
      </c>
      <c r="L34" s="1205"/>
      <c r="M34" s="524" t="str">
        <f t="shared" si="2"/>
        <v/>
      </c>
      <c r="N34" s="1269"/>
      <c r="O34" s="1269"/>
      <c r="P34" s="1189"/>
      <c r="Q34" s="1190"/>
      <c r="T34" s="1205" t="s">
        <v>45</v>
      </c>
      <c r="U34" s="1205"/>
      <c r="V34" s="641">
        <f t="shared" si="3"/>
        <v>46482</v>
      </c>
      <c r="X34" s="1277"/>
      <c r="Y34" s="1277"/>
      <c r="AD34" s="1189"/>
      <c r="AE34" s="1190"/>
    </row>
    <row r="35" spans="1:31" s="122" customFormat="1" ht="13" x14ac:dyDescent="0.3">
      <c r="B35" s="373" t="s">
        <v>51</v>
      </c>
      <c r="C35" s="373" t="s">
        <v>52</v>
      </c>
      <c r="D35" s="1221" t="s">
        <v>53</v>
      </c>
      <c r="E35" s="1221"/>
      <c r="F35" s="373" t="s">
        <v>54</v>
      </c>
      <c r="G35" s="1221" t="s">
        <v>79</v>
      </c>
      <c r="H35" s="1221"/>
      <c r="I35" s="1221"/>
      <c r="K35" s="1205">
        <f t="shared" si="1"/>
        <v>0</v>
      </c>
      <c r="L35" s="1205"/>
      <c r="M35" s="524" t="str">
        <f t="shared" si="2"/>
        <v/>
      </c>
      <c r="N35" s="1269"/>
      <c r="O35" s="1269"/>
      <c r="P35" s="1189"/>
      <c r="Q35" s="1190"/>
      <c r="T35" s="1205" t="s">
        <v>46</v>
      </c>
      <c r="U35" s="1205"/>
      <c r="V35" s="641">
        <f t="shared" si="3"/>
        <v>46512</v>
      </c>
      <c r="X35" s="1277"/>
      <c r="Y35" s="1277"/>
      <c r="AD35" s="1189"/>
      <c r="AE35" s="1190"/>
    </row>
    <row r="36" spans="1:31" s="122" customFormat="1" ht="13" x14ac:dyDescent="0.3">
      <c r="B36" s="759">
        <v>5</v>
      </c>
      <c r="C36" s="760">
        <f>'STANDARD COMP.'!C33</f>
        <v>7.0000000000000007E-2</v>
      </c>
      <c r="D36" s="1284">
        <f>PMT(C36/12,B36*12,-1)</f>
        <v>1.9801198540349535E-2</v>
      </c>
      <c r="E36" s="1284"/>
      <c r="F36" s="761">
        <f>D36*F31</f>
        <v>17100.32896119832</v>
      </c>
      <c r="G36" s="1285">
        <f>F36/0.33</f>
        <v>51819.178670297937</v>
      </c>
      <c r="H36" s="1286"/>
      <c r="I36" s="1287"/>
      <c r="K36" s="1205">
        <f t="shared" si="1"/>
        <v>0</v>
      </c>
      <c r="L36" s="1205"/>
      <c r="M36" s="524" t="str">
        <f t="shared" si="2"/>
        <v/>
      </c>
      <c r="N36" s="1269"/>
      <c r="O36" s="1269"/>
      <c r="P36" s="1189"/>
      <c r="Q36" s="1190"/>
      <c r="T36" s="1205" t="s">
        <v>47</v>
      </c>
      <c r="U36" s="1205"/>
      <c r="V36" s="641">
        <f t="shared" si="3"/>
        <v>46543</v>
      </c>
      <c r="X36" s="1277"/>
      <c r="Y36" s="1277"/>
      <c r="AD36" s="1189"/>
      <c r="AE36" s="1190"/>
    </row>
    <row r="37" spans="1:31" s="122" customFormat="1" ht="13" x14ac:dyDescent="0.3">
      <c r="B37" s="654">
        <v>10</v>
      </c>
      <c r="C37" s="760">
        <f>'STANDARD COMP.'!C34</f>
        <v>7.0000000000000007E-2</v>
      </c>
      <c r="D37" s="1288">
        <f>PMT(C37/12,B37*12,-1)</f>
        <v>1.1610847921862406E-2</v>
      </c>
      <c r="E37" s="1288"/>
      <c r="F37" s="655">
        <f>D37*F31</f>
        <v>10027.136416904399</v>
      </c>
      <c r="G37" s="1289">
        <f>F37/0.33</f>
        <v>30385.26186940727</v>
      </c>
      <c r="H37" s="1290"/>
      <c r="I37" s="1291"/>
      <c r="K37" s="1205">
        <f t="shared" si="1"/>
        <v>0</v>
      </c>
      <c r="L37" s="1205"/>
      <c r="M37" s="524" t="str">
        <f t="shared" si="2"/>
        <v/>
      </c>
      <c r="N37" s="1269"/>
      <c r="O37" s="1269"/>
      <c r="P37" s="1189"/>
      <c r="Q37" s="1190"/>
      <c r="T37" s="1205" t="s">
        <v>49</v>
      </c>
      <c r="U37" s="1205"/>
      <c r="V37" s="641">
        <f t="shared" si="3"/>
        <v>46573</v>
      </c>
      <c r="X37" s="1277"/>
      <c r="Y37" s="1277"/>
      <c r="AD37" s="1189"/>
      <c r="AE37" s="1190"/>
    </row>
    <row r="38" spans="1:31" s="122" customFormat="1" ht="13" x14ac:dyDescent="0.3">
      <c r="B38" s="654">
        <v>15</v>
      </c>
      <c r="C38" s="760">
        <f>'STANDARD COMP.'!C35</f>
        <v>7.0000000000000007E-2</v>
      </c>
      <c r="D38" s="1288">
        <f>PMT(C38/12,B38*12,-1)</f>
        <v>8.988282708524269E-3</v>
      </c>
      <c r="E38" s="1288"/>
      <c r="F38" s="655">
        <f>D38*F31</f>
        <v>7762.2872574511575</v>
      </c>
      <c r="G38" s="1289">
        <f>F38/0.33</f>
        <v>23522.082598336841</v>
      </c>
      <c r="H38" s="1290"/>
      <c r="I38" s="1291"/>
      <c r="K38" s="1205">
        <f t="shared" si="1"/>
        <v>0</v>
      </c>
      <c r="L38" s="1205"/>
      <c r="M38" s="524" t="str">
        <f t="shared" si="2"/>
        <v/>
      </c>
      <c r="N38" s="1269"/>
      <c r="O38" s="1269"/>
      <c r="P38" s="1189"/>
      <c r="Q38" s="1190"/>
      <c r="T38" s="1205" t="s">
        <v>50</v>
      </c>
      <c r="U38" s="1205"/>
      <c r="V38" s="641">
        <f t="shared" si="3"/>
        <v>46604</v>
      </c>
      <c r="X38" s="1277"/>
      <c r="Y38" s="1277"/>
      <c r="AD38" s="1189"/>
      <c r="AE38" s="1190"/>
    </row>
    <row r="39" spans="1:31" s="122" customFormat="1" ht="13" x14ac:dyDescent="0.3">
      <c r="B39" s="654">
        <v>20</v>
      </c>
      <c r="C39" s="760">
        <f>'STANDARD COMP.'!C36</f>
        <v>7.0000000000000007E-2</v>
      </c>
      <c r="D39" s="1292">
        <f>PMT(C39/12,B39*12,-1)</f>
        <v>7.7529893561887461E-3</v>
      </c>
      <c r="E39" s="1292"/>
      <c r="F39" s="655">
        <f>D39*F31</f>
        <v>6695.4870511164745</v>
      </c>
      <c r="G39" s="1289">
        <f>F39/0.33</f>
        <v>20289.354700352953</v>
      </c>
      <c r="H39" s="1290"/>
      <c r="I39" s="1291"/>
      <c r="K39" s="1205">
        <f t="shared" si="1"/>
        <v>0</v>
      </c>
      <c r="L39" s="1205"/>
      <c r="M39" s="524" t="str">
        <f t="shared" si="2"/>
        <v/>
      </c>
      <c r="N39" s="1269"/>
      <c r="O39" s="1269"/>
      <c r="P39" s="1189"/>
      <c r="Q39" s="1190"/>
      <c r="T39" s="1205" t="s">
        <v>56</v>
      </c>
      <c r="U39" s="1205"/>
      <c r="V39" s="641">
        <f t="shared" si="3"/>
        <v>46635</v>
      </c>
      <c r="X39" s="1277"/>
      <c r="Y39" s="1277"/>
      <c r="AD39" s="1189"/>
      <c r="AE39" s="1190"/>
    </row>
    <row r="40" spans="1:31" s="122" customFormat="1" ht="13" x14ac:dyDescent="0.3">
      <c r="B40" s="899" t="str">
        <f>'STANDARD COMP.'!B37</f>
        <v>Fixed for three (3) years</v>
      </c>
      <c r="G40" s="656"/>
      <c r="K40" s="1205">
        <f t="shared" si="1"/>
        <v>0</v>
      </c>
      <c r="L40" s="1205"/>
      <c r="M40" s="524" t="str">
        <f t="shared" si="2"/>
        <v/>
      </c>
      <c r="N40" s="1269"/>
      <c r="O40" s="1269"/>
      <c r="P40" s="1189"/>
      <c r="Q40" s="1190"/>
      <c r="T40" s="1205" t="s">
        <v>57</v>
      </c>
      <c r="U40" s="1205"/>
      <c r="V40" s="641">
        <f t="shared" si="3"/>
        <v>46665</v>
      </c>
      <c r="X40" s="1277"/>
      <c r="Y40" s="1277"/>
      <c r="AD40" s="1189"/>
      <c r="AE40" s="1190"/>
    </row>
    <row r="41" spans="1:31" s="122" customFormat="1" ht="13" x14ac:dyDescent="0.3">
      <c r="B41" s="899" t="str">
        <f>'STANDARD COMP.'!B38</f>
        <v>Sample Computation for Interest rate is at 7% fixed for three (3) years only</v>
      </c>
      <c r="C41" s="657"/>
      <c r="D41" s="176"/>
      <c r="K41" s="1205">
        <f t="shared" si="1"/>
        <v>0</v>
      </c>
      <c r="L41" s="1205"/>
      <c r="M41" s="524" t="str">
        <f t="shared" si="2"/>
        <v/>
      </c>
      <c r="N41" s="1269"/>
      <c r="O41" s="1269"/>
      <c r="P41" s="1189"/>
      <c r="Q41" s="1190"/>
      <c r="T41" s="1205" t="s">
        <v>58</v>
      </c>
      <c r="U41" s="1205"/>
      <c r="V41" s="641">
        <f t="shared" si="3"/>
        <v>46696</v>
      </c>
      <c r="X41" s="1277"/>
      <c r="Y41" s="1277"/>
      <c r="AD41" s="1189"/>
      <c r="AE41" s="1190"/>
    </row>
    <row r="42" spans="1:31" s="122" customFormat="1" ht="13" x14ac:dyDescent="0.3">
      <c r="B42" s="658" t="s">
        <v>63</v>
      </c>
      <c r="D42" s="176"/>
      <c r="K42" s="1205">
        <f t="shared" si="1"/>
        <v>0</v>
      </c>
      <c r="L42" s="1205"/>
      <c r="M42" s="524" t="str">
        <f t="shared" si="2"/>
        <v/>
      </c>
      <c r="N42" s="1269"/>
      <c r="O42" s="1269"/>
      <c r="P42" s="1189"/>
      <c r="Q42" s="1190"/>
      <c r="T42" s="1205" t="s">
        <v>59</v>
      </c>
      <c r="U42" s="1205"/>
      <c r="V42" s="641">
        <f t="shared" si="3"/>
        <v>46726</v>
      </c>
      <c r="X42" s="1277"/>
      <c r="Y42" s="1277"/>
      <c r="AD42" s="1189"/>
      <c r="AE42" s="1190"/>
    </row>
    <row r="43" spans="1:31" s="122" customFormat="1" ht="13" x14ac:dyDescent="0.3">
      <c r="B43" s="658" t="s">
        <v>65</v>
      </c>
      <c r="C43" s="657"/>
      <c r="D43" s="176"/>
      <c r="K43" s="1205">
        <f t="shared" si="1"/>
        <v>0</v>
      </c>
      <c r="L43" s="1205"/>
      <c r="M43" s="524" t="str">
        <f t="shared" si="2"/>
        <v/>
      </c>
      <c r="N43" s="1269"/>
      <c r="O43" s="1269"/>
      <c r="P43" s="1189"/>
      <c r="Q43" s="1190"/>
      <c r="T43" s="1205" t="s">
        <v>60</v>
      </c>
      <c r="U43" s="1205"/>
      <c r="V43" s="641">
        <f t="shared" si="3"/>
        <v>46757</v>
      </c>
      <c r="X43" s="1277"/>
      <c r="Y43" s="1277"/>
      <c r="AD43" s="1189"/>
      <c r="AE43" s="1190"/>
    </row>
    <row r="44" spans="1:31" s="122" customFormat="1" ht="13" x14ac:dyDescent="0.3">
      <c r="D44" s="176"/>
      <c r="K44" s="1205">
        <f t="shared" si="1"/>
        <v>0</v>
      </c>
      <c r="L44" s="1205"/>
      <c r="M44" s="524" t="str">
        <f t="shared" si="2"/>
        <v/>
      </c>
      <c r="N44" s="1269"/>
      <c r="O44" s="1269"/>
      <c r="P44" s="1189"/>
      <c r="Q44" s="1190"/>
      <c r="T44" s="1205" t="s">
        <v>61</v>
      </c>
      <c r="U44" s="1205"/>
      <c r="V44" s="641">
        <f t="shared" si="3"/>
        <v>46788</v>
      </c>
      <c r="X44" s="1277"/>
      <c r="Y44" s="1277"/>
      <c r="AD44" s="1189"/>
      <c r="AE44" s="1190"/>
    </row>
    <row r="45" spans="1:31" s="122" customFormat="1" ht="13" x14ac:dyDescent="0.3">
      <c r="B45" s="130" t="s">
        <v>202</v>
      </c>
      <c r="C45" s="242"/>
      <c r="D45" s="8"/>
      <c r="E45" s="8"/>
      <c r="F45" s="8"/>
      <c r="G45" s="8"/>
      <c r="H45" s="8"/>
      <c r="I45" s="8"/>
      <c r="K45" s="1205">
        <f t="shared" si="1"/>
        <v>0</v>
      </c>
      <c r="L45" s="1205"/>
      <c r="M45" s="524" t="str">
        <f t="shared" si="2"/>
        <v/>
      </c>
      <c r="N45" s="1269"/>
      <c r="O45" s="1269"/>
      <c r="P45" s="1189"/>
      <c r="Q45" s="1190"/>
      <c r="T45" s="1205" t="s">
        <v>62</v>
      </c>
      <c r="U45" s="1205"/>
      <c r="V45" s="641">
        <f t="shared" si="3"/>
        <v>46817</v>
      </c>
      <c r="X45" s="1277"/>
      <c r="Y45" s="1277"/>
      <c r="AD45" s="1189"/>
      <c r="AE45" s="1190"/>
    </row>
    <row r="46" spans="1:31" s="122" customFormat="1" ht="13" x14ac:dyDescent="0.3">
      <c r="B46" s="8"/>
      <c r="C46" s="8"/>
      <c r="D46" s="8"/>
      <c r="E46" s="8"/>
      <c r="F46" s="8"/>
      <c r="G46" s="8"/>
      <c r="H46" s="8"/>
      <c r="I46" s="8"/>
      <c r="K46" s="1205">
        <f t="shared" si="1"/>
        <v>0</v>
      </c>
      <c r="L46" s="1205"/>
      <c r="M46" s="524" t="str">
        <f t="shared" si="2"/>
        <v/>
      </c>
      <c r="N46" s="1269"/>
      <c r="O46" s="1269"/>
      <c r="P46" s="1189"/>
      <c r="Q46" s="1190"/>
      <c r="T46" s="1205" t="s">
        <v>64</v>
      </c>
      <c r="U46" s="1205"/>
      <c r="V46" s="641">
        <f t="shared" si="3"/>
        <v>46848</v>
      </c>
      <c r="X46" s="1277"/>
      <c r="Y46" s="1277"/>
      <c r="AD46" s="1189"/>
      <c r="AE46" s="1190"/>
    </row>
    <row r="47" spans="1:31" s="122" customFormat="1" ht="13" x14ac:dyDescent="0.25">
      <c r="B47" s="1221" t="s">
        <v>110</v>
      </c>
      <c r="C47" s="1221"/>
      <c r="D47" s="1221" t="s">
        <v>200</v>
      </c>
      <c r="E47" s="1221"/>
      <c r="F47" s="1221"/>
      <c r="G47" s="1221" t="s">
        <v>207</v>
      </c>
      <c r="H47" s="1221"/>
      <c r="I47" s="1221"/>
      <c r="K47" s="1205">
        <f t="shared" si="1"/>
        <v>0</v>
      </c>
      <c r="L47" s="1205"/>
      <c r="M47" s="524" t="str">
        <f t="shared" si="2"/>
        <v/>
      </c>
      <c r="N47" s="1269"/>
      <c r="O47" s="1269"/>
      <c r="P47" s="1189"/>
      <c r="Q47" s="1190"/>
      <c r="T47" s="1205" t="s">
        <v>66</v>
      </c>
      <c r="U47" s="1205"/>
      <c r="V47" s="641">
        <f t="shared" si="3"/>
        <v>46878</v>
      </c>
      <c r="X47" s="1293"/>
      <c r="Y47" s="1293"/>
    </row>
    <row r="48" spans="1:31" s="122" customFormat="1" ht="12.5" x14ac:dyDescent="0.25">
      <c r="B48" s="1294">
        <f>FORM!O19</f>
        <v>0</v>
      </c>
      <c r="C48" s="1295"/>
      <c r="D48" s="1294">
        <f>FORM!S19</f>
        <v>0</v>
      </c>
      <c r="E48" s="1298"/>
      <c r="F48" s="1295"/>
      <c r="G48" s="1300">
        <f>FORM!V19</f>
        <v>0</v>
      </c>
      <c r="H48" s="1301"/>
      <c r="I48" s="1302"/>
      <c r="K48" s="1205">
        <f t="shared" si="1"/>
        <v>0</v>
      </c>
      <c r="L48" s="1205"/>
      <c r="M48" s="524" t="str">
        <f t="shared" si="2"/>
        <v/>
      </c>
      <c r="N48" s="1269"/>
      <c r="O48" s="1269"/>
      <c r="P48" s="1189"/>
      <c r="Q48" s="1190"/>
      <c r="T48" s="1205" t="s">
        <v>67</v>
      </c>
      <c r="U48" s="1205"/>
      <c r="V48" s="641">
        <f t="shared" si="3"/>
        <v>46909</v>
      </c>
      <c r="X48" s="105"/>
      <c r="Y48" s="105"/>
    </row>
    <row r="49" spans="2:25" s="122" customFormat="1" ht="12.5" x14ac:dyDescent="0.25">
      <c r="B49" s="1296"/>
      <c r="C49" s="1297"/>
      <c r="D49" s="1296"/>
      <c r="E49" s="1299"/>
      <c r="F49" s="1297"/>
      <c r="G49" s="1303"/>
      <c r="H49" s="1304"/>
      <c r="I49" s="1305"/>
      <c r="K49" s="1205">
        <f t="shared" si="1"/>
        <v>0</v>
      </c>
      <c r="L49" s="1205"/>
      <c r="M49" s="524" t="str">
        <f t="shared" si="2"/>
        <v/>
      </c>
      <c r="N49" s="1269"/>
      <c r="O49" s="1269"/>
      <c r="P49" s="1189"/>
      <c r="Q49" s="1190"/>
      <c r="T49" s="1205" t="s">
        <v>69</v>
      </c>
      <c r="U49" s="1205"/>
      <c r="V49" s="641">
        <f t="shared" si="3"/>
        <v>46939</v>
      </c>
      <c r="X49" s="105"/>
      <c r="Y49" s="105"/>
    </row>
    <row r="50" spans="2:25" s="122" customFormat="1" ht="12.5" x14ac:dyDescent="0.25">
      <c r="B50" s="1294">
        <f>FORM!O21</f>
        <v>0</v>
      </c>
      <c r="C50" s="1295"/>
      <c r="D50" s="1294">
        <f>FORM!S21</f>
        <v>0</v>
      </c>
      <c r="E50" s="1298"/>
      <c r="F50" s="1295"/>
      <c r="G50" s="1300">
        <f>FORM!V21</f>
        <v>0</v>
      </c>
      <c r="H50" s="1301"/>
      <c r="I50" s="1302"/>
      <c r="K50" s="1205">
        <f t="shared" si="1"/>
        <v>0</v>
      </c>
      <c r="L50" s="1205"/>
      <c r="M50" s="524" t="str">
        <f t="shared" si="2"/>
        <v/>
      </c>
      <c r="N50" s="1269"/>
      <c r="O50" s="1269"/>
      <c r="P50" s="1189"/>
      <c r="Q50" s="1190"/>
      <c r="T50" s="1205" t="s">
        <v>107</v>
      </c>
      <c r="U50" s="1205"/>
      <c r="V50" s="641">
        <f t="shared" si="3"/>
        <v>46970</v>
      </c>
      <c r="X50" s="105"/>
      <c r="Y50" s="105"/>
    </row>
    <row r="51" spans="2:25" s="122" customFormat="1" ht="12.5" x14ac:dyDescent="0.25">
      <c r="B51" s="1296"/>
      <c r="C51" s="1297"/>
      <c r="D51" s="1296"/>
      <c r="E51" s="1299"/>
      <c r="F51" s="1297"/>
      <c r="G51" s="1303"/>
      <c r="H51" s="1304"/>
      <c r="I51" s="1305"/>
      <c r="K51" s="1205">
        <f t="shared" si="1"/>
        <v>0</v>
      </c>
      <c r="L51" s="1205"/>
      <c r="M51" s="524" t="str">
        <f t="shared" si="2"/>
        <v/>
      </c>
      <c r="N51" s="1269"/>
      <c r="O51" s="1269"/>
      <c r="P51" s="1189"/>
      <c r="Q51" s="1190"/>
      <c r="T51" s="1205" t="s">
        <v>111</v>
      </c>
      <c r="U51" s="1205"/>
      <c r="V51" s="641">
        <f t="shared" si="3"/>
        <v>47001</v>
      </c>
      <c r="X51" s="105"/>
      <c r="Y51" s="105"/>
    </row>
    <row r="52" spans="2:25" s="122" customFormat="1" ht="12.5" x14ac:dyDescent="0.25">
      <c r="B52" s="1294">
        <f>FORM!O25</f>
        <v>0</v>
      </c>
      <c r="C52" s="1295"/>
      <c r="D52" s="1294">
        <f>FORM!S25</f>
        <v>0</v>
      </c>
      <c r="E52" s="1298"/>
      <c r="F52" s="1295"/>
      <c r="G52" s="1300">
        <f>FORM!V25</f>
        <v>0</v>
      </c>
      <c r="H52" s="1301"/>
      <c r="I52" s="1302"/>
      <c r="K52" s="1205">
        <f t="shared" si="1"/>
        <v>0</v>
      </c>
      <c r="L52" s="1205"/>
      <c r="M52" s="524" t="str">
        <f t="shared" si="2"/>
        <v/>
      </c>
      <c r="N52" s="1269"/>
      <c r="O52" s="1269"/>
      <c r="P52" s="1189"/>
      <c r="Q52" s="1190"/>
      <c r="T52" s="1205" t="s">
        <v>112</v>
      </c>
      <c r="U52" s="1205"/>
      <c r="V52" s="641">
        <f t="shared" si="3"/>
        <v>47031</v>
      </c>
      <c r="X52" s="105"/>
      <c r="Y52" s="105"/>
    </row>
    <row r="53" spans="2:25" s="122" customFormat="1" ht="12.5" x14ac:dyDescent="0.25">
      <c r="B53" s="1296"/>
      <c r="C53" s="1297"/>
      <c r="D53" s="1296"/>
      <c r="E53" s="1299"/>
      <c r="F53" s="1297"/>
      <c r="G53" s="1303"/>
      <c r="H53" s="1304"/>
      <c r="I53" s="1305"/>
      <c r="K53" s="1205">
        <f t="shared" si="1"/>
        <v>0</v>
      </c>
      <c r="L53" s="1205"/>
      <c r="M53" s="524" t="str">
        <f t="shared" si="2"/>
        <v/>
      </c>
      <c r="N53" s="1269"/>
      <c r="O53" s="1269"/>
      <c r="P53" s="1189"/>
      <c r="Q53" s="1190"/>
      <c r="T53" s="1205" t="s">
        <v>113</v>
      </c>
      <c r="U53" s="1205"/>
      <c r="V53" s="641">
        <f t="shared" si="3"/>
        <v>47062</v>
      </c>
      <c r="X53" s="105"/>
      <c r="Y53" s="105"/>
    </row>
    <row r="54" spans="2:25" s="122" customFormat="1" ht="12.5" x14ac:dyDescent="0.25">
      <c r="B54" s="1294">
        <f>FORM!O27</f>
        <v>0</v>
      </c>
      <c r="C54" s="1295"/>
      <c r="D54" s="1294">
        <f>FORM!S27</f>
        <v>0</v>
      </c>
      <c r="E54" s="1298"/>
      <c r="F54" s="1295"/>
      <c r="G54" s="1300">
        <f>FORM!V27</f>
        <v>0</v>
      </c>
      <c r="H54" s="1301"/>
      <c r="I54" s="1302"/>
      <c r="K54" s="1205">
        <f t="shared" si="1"/>
        <v>0</v>
      </c>
      <c r="L54" s="1205"/>
      <c r="M54" s="524" t="str">
        <f t="shared" si="2"/>
        <v/>
      </c>
      <c r="N54" s="1269"/>
      <c r="O54" s="1269"/>
      <c r="P54" s="1189"/>
      <c r="Q54" s="1190"/>
      <c r="T54" s="1205" t="s">
        <v>114</v>
      </c>
      <c r="U54" s="1205"/>
      <c r="V54" s="641">
        <f t="shared" si="3"/>
        <v>47092</v>
      </c>
      <c r="X54" s="105"/>
      <c r="Y54" s="105"/>
    </row>
    <row r="55" spans="2:25" s="122" customFormat="1" ht="12.5" x14ac:dyDescent="0.25">
      <c r="B55" s="1296"/>
      <c r="C55" s="1297"/>
      <c r="D55" s="1296"/>
      <c r="E55" s="1299"/>
      <c r="F55" s="1297"/>
      <c r="G55" s="1303"/>
      <c r="H55" s="1304"/>
      <c r="I55" s="1305"/>
      <c r="J55" s="122" t="s">
        <v>1</v>
      </c>
      <c r="K55" s="1205">
        <f t="shared" si="1"/>
        <v>0</v>
      </c>
      <c r="L55" s="1205"/>
      <c r="M55" s="524" t="str">
        <f t="shared" si="2"/>
        <v/>
      </c>
      <c r="N55" s="1269"/>
      <c r="O55" s="1269"/>
      <c r="P55" s="1189"/>
      <c r="Q55" s="1190"/>
      <c r="T55" s="1205" t="s">
        <v>115</v>
      </c>
      <c r="U55" s="1205"/>
      <c r="V55" s="641">
        <f t="shared" si="3"/>
        <v>47123</v>
      </c>
      <c r="X55" s="105"/>
      <c r="Y55" s="105"/>
    </row>
    <row r="56" spans="2:25" s="122" customFormat="1" ht="12.5" x14ac:dyDescent="0.25">
      <c r="B56" s="1294"/>
      <c r="C56" s="1295"/>
      <c r="D56" s="1294"/>
      <c r="E56" s="1298"/>
      <c r="F56" s="1295"/>
      <c r="G56" s="1300"/>
      <c r="H56" s="1301"/>
      <c r="I56" s="1302"/>
      <c r="K56" s="1205">
        <f t="shared" ref="K56:K66" si="4">IF(N56&gt;1,T56,0)</f>
        <v>0</v>
      </c>
      <c r="L56" s="1205"/>
      <c r="M56" s="524" t="str">
        <f t="shared" si="2"/>
        <v/>
      </c>
      <c r="N56" s="1269"/>
      <c r="O56" s="1269"/>
      <c r="P56" s="1189"/>
      <c r="Q56" s="1190"/>
      <c r="T56" s="1205" t="s">
        <v>179</v>
      </c>
      <c r="U56" s="1205"/>
      <c r="V56" s="641">
        <f t="shared" si="3"/>
        <v>47154</v>
      </c>
      <c r="X56" s="105"/>
      <c r="Y56" s="105"/>
    </row>
    <row r="57" spans="2:25" s="122" customFormat="1" ht="12.5" x14ac:dyDescent="0.25">
      <c r="B57" s="1296"/>
      <c r="C57" s="1297"/>
      <c r="D57" s="1296"/>
      <c r="E57" s="1299"/>
      <c r="F57" s="1297"/>
      <c r="G57" s="1303"/>
      <c r="H57" s="1304"/>
      <c r="I57" s="1305"/>
      <c r="K57" s="1205">
        <f t="shared" si="4"/>
        <v>0</v>
      </c>
      <c r="L57" s="1205"/>
      <c r="M57" s="524" t="str">
        <f t="shared" si="2"/>
        <v/>
      </c>
      <c r="N57" s="1269"/>
      <c r="O57" s="1269"/>
      <c r="P57" s="915"/>
      <c r="Q57" s="916"/>
      <c r="T57" s="1205" t="s">
        <v>180</v>
      </c>
      <c r="U57" s="1205"/>
      <c r="V57" s="641">
        <f t="shared" si="3"/>
        <v>47182</v>
      </c>
      <c r="X57" s="105"/>
      <c r="Y57" s="105"/>
    </row>
    <row r="58" spans="2:25" s="122" customFormat="1" ht="12.5" x14ac:dyDescent="0.25">
      <c r="B58" s="1294"/>
      <c r="C58" s="1295"/>
      <c r="D58" s="1294"/>
      <c r="E58" s="1298"/>
      <c r="F58" s="1295"/>
      <c r="G58" s="1300"/>
      <c r="H58" s="1301"/>
      <c r="I58" s="1302"/>
      <c r="K58" s="1205">
        <f t="shared" si="4"/>
        <v>0</v>
      </c>
      <c r="L58" s="1205"/>
      <c r="M58" s="524" t="str">
        <f t="shared" si="2"/>
        <v/>
      </c>
      <c r="N58" s="1269"/>
      <c r="O58" s="1269"/>
      <c r="P58" s="915"/>
      <c r="Q58" s="916"/>
      <c r="T58" s="1205" t="s">
        <v>181</v>
      </c>
      <c r="U58" s="1205"/>
      <c r="V58" s="641">
        <f t="shared" si="3"/>
        <v>47213</v>
      </c>
      <c r="X58" s="105"/>
      <c r="Y58" s="105"/>
    </row>
    <row r="59" spans="2:25" s="122" customFormat="1" ht="12.5" x14ac:dyDescent="0.25">
      <c r="B59" s="1296"/>
      <c r="C59" s="1297"/>
      <c r="D59" s="1296"/>
      <c r="E59" s="1299"/>
      <c r="F59" s="1297"/>
      <c r="G59" s="1303"/>
      <c r="H59" s="1304"/>
      <c r="I59" s="1305"/>
      <c r="K59" s="1205">
        <f t="shared" si="4"/>
        <v>0</v>
      </c>
      <c r="L59" s="1205"/>
      <c r="M59" s="524" t="str">
        <f t="shared" si="2"/>
        <v/>
      </c>
      <c r="N59" s="1269"/>
      <c r="O59" s="1269"/>
      <c r="P59" s="915"/>
      <c r="Q59" s="916"/>
      <c r="T59" s="1205" t="s">
        <v>182</v>
      </c>
      <c r="U59" s="1205"/>
      <c r="V59" s="641">
        <f t="shared" si="3"/>
        <v>47243</v>
      </c>
      <c r="X59" s="105"/>
      <c r="Y59" s="105"/>
    </row>
    <row r="60" spans="2:25" s="122" customFormat="1" ht="12.5" x14ac:dyDescent="0.25">
      <c r="B60" s="1294"/>
      <c r="C60" s="1295"/>
      <c r="D60" s="1294"/>
      <c r="E60" s="1298"/>
      <c r="F60" s="1295"/>
      <c r="G60" s="1300"/>
      <c r="H60" s="1301"/>
      <c r="I60" s="1302"/>
      <c r="K60" s="1205">
        <f t="shared" si="4"/>
        <v>0</v>
      </c>
      <c r="L60" s="1205"/>
      <c r="M60" s="524" t="str">
        <f t="shared" si="2"/>
        <v/>
      </c>
      <c r="N60" s="1269"/>
      <c r="O60" s="1269"/>
      <c r="P60" s="915"/>
      <c r="Q60" s="916"/>
      <c r="T60" s="1205" t="s">
        <v>183</v>
      </c>
      <c r="U60" s="1205"/>
      <c r="V60" s="641">
        <f t="shared" si="3"/>
        <v>47274</v>
      </c>
      <c r="X60" s="105"/>
      <c r="Y60" s="105"/>
    </row>
    <row r="61" spans="2:25" s="122" customFormat="1" ht="12.5" x14ac:dyDescent="0.25">
      <c r="B61" s="1296"/>
      <c r="C61" s="1297"/>
      <c r="D61" s="1296"/>
      <c r="E61" s="1299"/>
      <c r="F61" s="1297"/>
      <c r="G61" s="1303"/>
      <c r="H61" s="1304"/>
      <c r="I61" s="1305"/>
      <c r="K61" s="1205">
        <f t="shared" si="4"/>
        <v>0</v>
      </c>
      <c r="L61" s="1205"/>
      <c r="M61" s="524" t="str">
        <f t="shared" si="2"/>
        <v/>
      </c>
      <c r="N61" s="1269"/>
      <c r="O61" s="1269"/>
      <c r="P61" s="915"/>
      <c r="Q61" s="916"/>
      <c r="T61" s="1205" t="s">
        <v>184</v>
      </c>
      <c r="U61" s="1205"/>
      <c r="V61" s="641">
        <f t="shared" si="3"/>
        <v>47304</v>
      </c>
      <c r="X61" s="105"/>
      <c r="Y61" s="105"/>
    </row>
    <row r="62" spans="2:25" s="122" customFormat="1" ht="12.5" x14ac:dyDescent="0.25">
      <c r="D62" s="176"/>
      <c r="K62" s="1205">
        <f t="shared" si="4"/>
        <v>0</v>
      </c>
      <c r="L62" s="1205"/>
      <c r="M62" s="524" t="str">
        <f t="shared" si="2"/>
        <v/>
      </c>
      <c r="N62" s="1269"/>
      <c r="O62" s="1269"/>
      <c r="P62" s="915"/>
      <c r="Q62" s="916"/>
      <c r="T62" s="1205" t="s">
        <v>428</v>
      </c>
      <c r="U62" s="1205"/>
      <c r="V62" s="641">
        <f t="shared" si="3"/>
        <v>47335</v>
      </c>
      <c r="X62" s="105"/>
      <c r="Y62" s="105"/>
    </row>
    <row r="63" spans="2:25" s="122" customFormat="1" ht="12.5" x14ac:dyDescent="0.25">
      <c r="B63" s="429"/>
      <c r="C63" s="240" t="s">
        <v>221</v>
      </c>
      <c r="D63" s="1306"/>
      <c r="E63" s="1306"/>
      <c r="F63" s="1306"/>
      <c r="K63" s="1205">
        <f t="shared" si="4"/>
        <v>0</v>
      </c>
      <c r="L63" s="1205"/>
      <c r="M63" s="524" t="str">
        <f t="shared" si="2"/>
        <v/>
      </c>
      <c r="N63" s="1269"/>
      <c r="O63" s="1269"/>
      <c r="P63" s="915"/>
      <c r="Q63" s="916"/>
      <c r="T63" s="1205" t="s">
        <v>429</v>
      </c>
      <c r="U63" s="1205"/>
      <c r="V63" s="641">
        <f t="shared" si="3"/>
        <v>47366</v>
      </c>
      <c r="X63" s="105"/>
      <c r="Y63" s="105"/>
    </row>
    <row r="64" spans="2:25" s="122" customFormat="1" ht="12.5" x14ac:dyDescent="0.25">
      <c r="B64" s="661"/>
      <c r="C64" s="123"/>
      <c r="D64" s="123"/>
      <c r="E64" s="123"/>
      <c r="F64" s="125"/>
      <c r="K64" s="1205">
        <f t="shared" si="4"/>
        <v>0</v>
      </c>
      <c r="L64" s="1205"/>
      <c r="M64" s="524" t="str">
        <f t="shared" si="2"/>
        <v/>
      </c>
      <c r="N64" s="1269"/>
      <c r="O64" s="1269"/>
      <c r="P64" s="915"/>
      <c r="Q64" s="916"/>
      <c r="T64" s="1205" t="s">
        <v>430</v>
      </c>
      <c r="U64" s="1205"/>
      <c r="V64" s="641">
        <f t="shared" si="3"/>
        <v>47396</v>
      </c>
      <c r="X64" s="105"/>
      <c r="Y64" s="105"/>
    </row>
    <row r="65" spans="2:25" s="122" customFormat="1" ht="12.5" x14ac:dyDescent="0.25">
      <c r="B65" s="8" t="s">
        <v>70</v>
      </c>
      <c r="C65" s="8"/>
      <c r="D65" s="8"/>
      <c r="E65" s="8"/>
      <c r="F65" s="8" t="s">
        <v>71</v>
      </c>
      <c r="G65" s="8"/>
      <c r="H65" s="8"/>
      <c r="K65" s="1205">
        <f t="shared" si="4"/>
        <v>0</v>
      </c>
      <c r="L65" s="1205"/>
      <c r="M65" s="524" t="str">
        <f t="shared" si="2"/>
        <v/>
      </c>
      <c r="N65" s="1269"/>
      <c r="O65" s="1269"/>
      <c r="P65" s="915"/>
      <c r="Q65" s="916"/>
      <c r="T65" s="1205" t="s">
        <v>431</v>
      </c>
      <c r="U65" s="1205"/>
      <c r="V65" s="641">
        <f t="shared" si="3"/>
        <v>47427</v>
      </c>
      <c r="X65" s="105"/>
      <c r="Y65" s="105"/>
    </row>
    <row r="66" spans="2:25" s="122" customFormat="1" ht="12.5" x14ac:dyDescent="0.25">
      <c r="D66" s="176"/>
      <c r="K66" s="1205">
        <f t="shared" si="4"/>
        <v>0</v>
      </c>
      <c r="L66" s="1205"/>
      <c r="M66" s="524" t="str">
        <f t="shared" si="2"/>
        <v/>
      </c>
      <c r="N66" s="1269"/>
      <c r="O66" s="1269"/>
      <c r="P66" s="915"/>
      <c r="Q66" s="916"/>
      <c r="T66" s="1205" t="s">
        <v>432</v>
      </c>
      <c r="U66" s="1205"/>
      <c r="V66" s="641">
        <f t="shared" si="3"/>
        <v>47457</v>
      </c>
      <c r="X66" s="105"/>
      <c r="Y66" s="105"/>
    </row>
    <row r="67" spans="2:25" s="122" customFormat="1" ht="12.5" x14ac:dyDescent="0.25">
      <c r="B67" s="1307" t="str">
        <f>'STANDARD COMP.'!B67:D67</f>
        <v>selller</v>
      </c>
      <c r="C67" s="1307"/>
      <c r="D67" s="662"/>
      <c r="F67" s="1307" t="str">
        <f>'STANDARD COMP.'!F67:I67</f>
        <v>buyer</v>
      </c>
      <c r="G67" s="1307"/>
      <c r="K67" s="1205">
        <f t="shared" ref="K67:K70" si="5">IF(N67&gt;1,T67,0)</f>
        <v>0</v>
      </c>
      <c r="L67" s="1205"/>
      <c r="M67" s="524" t="str">
        <f t="shared" si="2"/>
        <v/>
      </c>
      <c r="N67" s="1269"/>
      <c r="O67" s="1269"/>
      <c r="P67" s="915"/>
      <c r="Q67" s="916"/>
      <c r="T67" s="1205" t="s">
        <v>433</v>
      </c>
      <c r="U67" s="1205"/>
      <c r="V67" s="641">
        <f t="shared" si="3"/>
        <v>47488</v>
      </c>
      <c r="X67" s="105"/>
      <c r="Y67" s="105"/>
    </row>
    <row r="68" spans="2:25" s="122" customFormat="1" ht="12.5" x14ac:dyDescent="0.25">
      <c r="B68" s="663" t="s">
        <v>74</v>
      </c>
      <c r="C68" s="663"/>
      <c r="D68" s="176"/>
      <c r="F68" s="663" t="s">
        <v>74</v>
      </c>
      <c r="G68" s="663"/>
      <c r="K68" s="1205">
        <f t="shared" si="5"/>
        <v>0</v>
      </c>
      <c r="L68" s="1205"/>
      <c r="M68" s="524" t="str">
        <f t="shared" si="2"/>
        <v/>
      </c>
      <c r="N68" s="1269"/>
      <c r="O68" s="1269"/>
      <c r="P68" s="915"/>
      <c r="Q68" s="916"/>
      <c r="T68" s="1205" t="s">
        <v>434</v>
      </c>
      <c r="U68" s="1205"/>
      <c r="V68" s="641">
        <f t="shared" si="3"/>
        <v>47519</v>
      </c>
      <c r="X68" s="105"/>
      <c r="Y68" s="105"/>
    </row>
    <row r="69" spans="2:25" s="122" customFormat="1" ht="12.5" x14ac:dyDescent="0.25">
      <c r="D69" s="176"/>
      <c r="K69" s="1205">
        <f t="shared" si="5"/>
        <v>0</v>
      </c>
      <c r="L69" s="1205"/>
      <c r="M69" s="524" t="str">
        <f t="shared" si="2"/>
        <v/>
      </c>
      <c r="N69" s="1269"/>
      <c r="O69" s="1269"/>
      <c r="P69" s="915"/>
      <c r="Q69" s="916"/>
      <c r="T69" s="1205" t="s">
        <v>435</v>
      </c>
      <c r="U69" s="1205"/>
      <c r="V69" s="641">
        <f t="shared" si="3"/>
        <v>47547</v>
      </c>
      <c r="X69" s="105"/>
      <c r="Y69" s="105"/>
    </row>
    <row r="70" spans="2:25" s="122" customFormat="1" ht="12.5" x14ac:dyDescent="0.25">
      <c r="K70" s="1205">
        <f t="shared" si="5"/>
        <v>0</v>
      </c>
      <c r="L70" s="1205"/>
      <c r="M70" s="524" t="str">
        <f t="shared" si="2"/>
        <v/>
      </c>
      <c r="N70" s="1269"/>
      <c r="O70" s="1269"/>
      <c r="P70" s="915"/>
      <c r="Q70" s="916"/>
      <c r="T70" s="1205" t="s">
        <v>436</v>
      </c>
      <c r="U70" s="1205"/>
      <c r="V70" s="641">
        <f t="shared" si="3"/>
        <v>47578</v>
      </c>
      <c r="X70" s="105"/>
      <c r="Y70" s="105"/>
    </row>
    <row r="71" spans="2:25" s="122" customFormat="1" ht="12.5" x14ac:dyDescent="0.25">
      <c r="K71" s="1189" t="s">
        <v>72</v>
      </c>
      <c r="L71" s="1190"/>
      <c r="M71" s="524">
        <f>IF(DAY(M15)=31,X18,Z18)</f>
        <v>45935</v>
      </c>
      <c r="N71" s="1308">
        <f>F31</f>
        <v>863600.70206621254</v>
      </c>
      <c r="O71" s="1308"/>
      <c r="P71" s="1189"/>
      <c r="Q71" s="1190"/>
      <c r="T71" s="1205"/>
      <c r="U71" s="1205"/>
      <c r="V71" s="641"/>
      <c r="X71" s="105"/>
      <c r="Y71" s="105"/>
    </row>
    <row r="72" spans="2:25" s="122" customFormat="1" ht="12.5" x14ac:dyDescent="0.25">
      <c r="K72" s="659"/>
      <c r="M72" s="248"/>
      <c r="V72" s="660"/>
      <c r="X72" s="105"/>
      <c r="Y72" s="105"/>
    </row>
    <row r="73" spans="2:25" s="122" customFormat="1" ht="12.5" x14ac:dyDescent="0.25">
      <c r="K73" s="659"/>
      <c r="M73" s="248"/>
      <c r="V73" s="632"/>
      <c r="X73" s="105"/>
      <c r="Y73" s="105"/>
    </row>
    <row r="74" spans="2:25" s="122" customFormat="1" ht="12.5" x14ac:dyDescent="0.25">
      <c r="M74" s="248"/>
      <c r="V74" s="632"/>
      <c r="X74" s="105"/>
      <c r="Y74" s="105"/>
    </row>
    <row r="75" spans="2:25" s="122" customFormat="1" ht="12.5" x14ac:dyDescent="0.25">
      <c r="K75" s="8" t="s">
        <v>70</v>
      </c>
      <c r="L75" s="8"/>
      <c r="M75" s="8"/>
      <c r="N75" s="8"/>
      <c r="P75" s="8" t="s">
        <v>71</v>
      </c>
      <c r="Q75" s="8"/>
      <c r="V75" s="632"/>
      <c r="X75" s="105"/>
      <c r="Y75" s="105"/>
    </row>
    <row r="76" spans="2:25" s="122" customFormat="1" ht="12.5" x14ac:dyDescent="0.25">
      <c r="M76" s="176"/>
      <c r="V76" s="632"/>
      <c r="X76" s="105"/>
      <c r="Y76" s="105"/>
    </row>
    <row r="77" spans="2:25" s="122" customFormat="1" ht="12.5" x14ac:dyDescent="0.25">
      <c r="M77" s="176"/>
      <c r="V77" s="632"/>
      <c r="X77" s="105"/>
      <c r="Y77" s="105"/>
    </row>
    <row r="78" spans="2:25" s="122" customFormat="1" ht="12.5" x14ac:dyDescent="0.25">
      <c r="K78" s="1307" t="str">
        <f>B67</f>
        <v>selller</v>
      </c>
      <c r="L78" s="1307"/>
      <c r="M78" s="1307"/>
      <c r="P78" s="1307" t="str">
        <f>F67</f>
        <v>buyer</v>
      </c>
      <c r="Q78" s="1307"/>
      <c r="V78" s="632"/>
      <c r="X78" s="105"/>
      <c r="Y78" s="105"/>
    </row>
    <row r="79" spans="2:25" s="122" customFormat="1" ht="12.5" x14ac:dyDescent="0.25">
      <c r="K79" s="663" t="s">
        <v>74</v>
      </c>
      <c r="L79" s="663"/>
      <c r="M79" s="256"/>
      <c r="P79" s="663" t="s">
        <v>74</v>
      </c>
      <c r="Q79" s="663"/>
      <c r="V79" s="632"/>
      <c r="X79" s="105"/>
      <c r="Y79" s="105"/>
    </row>
    <row r="80" spans="2:25" s="122" customFormat="1" ht="12.5" x14ac:dyDescent="0.25">
      <c r="V80" s="632"/>
      <c r="X80" s="105"/>
      <c r="Y80" s="105"/>
    </row>
    <row r="81" spans="4:25" s="122" customFormat="1" ht="12.5" x14ac:dyDescent="0.25">
      <c r="V81" s="632"/>
      <c r="X81" s="105"/>
      <c r="Y81" s="105"/>
    </row>
    <row r="82" spans="4:25" s="122" customFormat="1" ht="12.5" x14ac:dyDescent="0.25">
      <c r="D82" s="176"/>
      <c r="M82" s="248"/>
      <c r="V82" s="632"/>
      <c r="X82" s="105"/>
      <c r="Y82" s="105"/>
    </row>
    <row r="126" spans="1:1" x14ac:dyDescent="0.25">
      <c r="A126" s="525">
        <f>F15*12%</f>
        <v>99934.507471500008</v>
      </c>
    </row>
  </sheetData>
  <sheetProtection password="CC2E" sheet="1" formatCells="0" formatColumns="0" formatRows="0"/>
  <mergeCells count="353">
    <mergeCell ref="B67:C67"/>
    <mergeCell ref="F67:G67"/>
    <mergeCell ref="K56:L56"/>
    <mergeCell ref="N56:O56"/>
    <mergeCell ref="K57:L57"/>
    <mergeCell ref="K68:L68"/>
    <mergeCell ref="K61:L61"/>
    <mergeCell ref="K62:L62"/>
    <mergeCell ref="N57:O57"/>
    <mergeCell ref="B56:C57"/>
    <mergeCell ref="D56:F57"/>
    <mergeCell ref="G56:I57"/>
    <mergeCell ref="B58:C59"/>
    <mergeCell ref="D58:F59"/>
    <mergeCell ref="G58:I59"/>
    <mergeCell ref="B60:C61"/>
    <mergeCell ref="D60:F61"/>
    <mergeCell ref="G60:I61"/>
    <mergeCell ref="N62:O62"/>
    <mergeCell ref="K60:L60"/>
    <mergeCell ref="K78:M78"/>
    <mergeCell ref="P78:Q78"/>
    <mergeCell ref="K71:L71"/>
    <mergeCell ref="N71:O71"/>
    <mergeCell ref="P71:Q71"/>
    <mergeCell ref="K63:L63"/>
    <mergeCell ref="K64:L64"/>
    <mergeCell ref="K65:L65"/>
    <mergeCell ref="K66:L66"/>
    <mergeCell ref="N63:O63"/>
    <mergeCell ref="N64:O64"/>
    <mergeCell ref="N65:O65"/>
    <mergeCell ref="N66:O66"/>
    <mergeCell ref="K67:L67"/>
    <mergeCell ref="K69:L69"/>
    <mergeCell ref="K70:L70"/>
    <mergeCell ref="N67:O67"/>
    <mergeCell ref="N68:O68"/>
    <mergeCell ref="N69:O69"/>
    <mergeCell ref="N70:O70"/>
    <mergeCell ref="T62:U62"/>
    <mergeCell ref="T71:U71"/>
    <mergeCell ref="D63:F63"/>
    <mergeCell ref="T63:U63"/>
    <mergeCell ref="T64:U64"/>
    <mergeCell ref="T65:U65"/>
    <mergeCell ref="T66:U66"/>
    <mergeCell ref="T67:U67"/>
    <mergeCell ref="T68:U68"/>
    <mergeCell ref="T69:U69"/>
    <mergeCell ref="T70:U70"/>
    <mergeCell ref="P56:Q56"/>
    <mergeCell ref="T56:U56"/>
    <mergeCell ref="N58:O58"/>
    <mergeCell ref="N59:O59"/>
    <mergeCell ref="N60:O60"/>
    <mergeCell ref="N61:O61"/>
    <mergeCell ref="B54:C55"/>
    <mergeCell ref="D54:F55"/>
    <mergeCell ref="G54:I55"/>
    <mergeCell ref="K55:L55"/>
    <mergeCell ref="N55:O55"/>
    <mergeCell ref="P55:Q55"/>
    <mergeCell ref="T55:U55"/>
    <mergeCell ref="K54:L54"/>
    <mergeCell ref="N54:O54"/>
    <mergeCell ref="P54:Q54"/>
    <mergeCell ref="T54:U54"/>
    <mergeCell ref="T57:U57"/>
    <mergeCell ref="T58:U58"/>
    <mergeCell ref="T59:U59"/>
    <mergeCell ref="T60:U60"/>
    <mergeCell ref="T61:U61"/>
    <mergeCell ref="K58:L58"/>
    <mergeCell ref="K59:L59"/>
    <mergeCell ref="K52:L52"/>
    <mergeCell ref="N52:O52"/>
    <mergeCell ref="P52:Q52"/>
    <mergeCell ref="T52:U52"/>
    <mergeCell ref="B52:C53"/>
    <mergeCell ref="D52:F53"/>
    <mergeCell ref="G52:I53"/>
    <mergeCell ref="K53:L53"/>
    <mergeCell ref="N53:O53"/>
    <mergeCell ref="P53:Q53"/>
    <mergeCell ref="T53:U53"/>
    <mergeCell ref="N50:O50"/>
    <mergeCell ref="P50:Q50"/>
    <mergeCell ref="T50:U50"/>
    <mergeCell ref="B50:C51"/>
    <mergeCell ref="D50:F51"/>
    <mergeCell ref="G50:I51"/>
    <mergeCell ref="K51:L51"/>
    <mergeCell ref="N51:O51"/>
    <mergeCell ref="P51:Q51"/>
    <mergeCell ref="T51:U51"/>
    <mergeCell ref="K50:L50"/>
    <mergeCell ref="K47:L47"/>
    <mergeCell ref="N47:O47"/>
    <mergeCell ref="P47:Q47"/>
    <mergeCell ref="T47:U47"/>
    <mergeCell ref="X47:Y47"/>
    <mergeCell ref="B47:C47"/>
    <mergeCell ref="D47:F47"/>
    <mergeCell ref="G47:I47"/>
    <mergeCell ref="K48:L48"/>
    <mergeCell ref="N48:O48"/>
    <mergeCell ref="P48:Q48"/>
    <mergeCell ref="T48:U48"/>
    <mergeCell ref="B48:C49"/>
    <mergeCell ref="D48:F49"/>
    <mergeCell ref="G48:I49"/>
    <mergeCell ref="K49:L49"/>
    <mergeCell ref="N49:O49"/>
    <mergeCell ref="P49:Q49"/>
    <mergeCell ref="T49:U49"/>
    <mergeCell ref="K46:L46"/>
    <mergeCell ref="N46:O46"/>
    <mergeCell ref="P46:Q46"/>
    <mergeCell ref="T46:U46"/>
    <mergeCell ref="X46:Y46"/>
    <mergeCell ref="AD46:AE46"/>
    <mergeCell ref="K45:L45"/>
    <mergeCell ref="N45:O45"/>
    <mergeCell ref="P45:Q45"/>
    <mergeCell ref="T45:U45"/>
    <mergeCell ref="X45:Y45"/>
    <mergeCell ref="AD45:AE45"/>
    <mergeCell ref="K44:L44"/>
    <mergeCell ref="N44:O44"/>
    <mergeCell ref="P44:Q44"/>
    <mergeCell ref="T44:U44"/>
    <mergeCell ref="X44:Y44"/>
    <mergeCell ref="AD44:AE44"/>
    <mergeCell ref="K43:L43"/>
    <mergeCell ref="N43:O43"/>
    <mergeCell ref="P43:Q43"/>
    <mergeCell ref="T43:U43"/>
    <mergeCell ref="X43:Y43"/>
    <mergeCell ref="AD43:AE43"/>
    <mergeCell ref="K42:L42"/>
    <mergeCell ref="N42:O42"/>
    <mergeCell ref="P42:Q42"/>
    <mergeCell ref="T42:U42"/>
    <mergeCell ref="X42:Y42"/>
    <mergeCell ref="AD42:AE42"/>
    <mergeCell ref="X40:Y40"/>
    <mergeCell ref="AD40:AE40"/>
    <mergeCell ref="K41:L41"/>
    <mergeCell ref="N41:O41"/>
    <mergeCell ref="P41:Q41"/>
    <mergeCell ref="T41:U41"/>
    <mergeCell ref="X41:Y41"/>
    <mergeCell ref="AD41:AE41"/>
    <mergeCell ref="K40:L40"/>
    <mergeCell ref="N40:O40"/>
    <mergeCell ref="P40:Q40"/>
    <mergeCell ref="T40:U40"/>
    <mergeCell ref="X38:Y38"/>
    <mergeCell ref="AD38:AE38"/>
    <mergeCell ref="D38:E38"/>
    <mergeCell ref="G38:I38"/>
    <mergeCell ref="K39:L39"/>
    <mergeCell ref="N39:O39"/>
    <mergeCell ref="P39:Q39"/>
    <mergeCell ref="T39:U39"/>
    <mergeCell ref="X39:Y39"/>
    <mergeCell ref="AD39:AE39"/>
    <mergeCell ref="K38:L38"/>
    <mergeCell ref="N38:O38"/>
    <mergeCell ref="P38:Q38"/>
    <mergeCell ref="T38:U38"/>
    <mergeCell ref="D39:E39"/>
    <mergeCell ref="G39:I39"/>
    <mergeCell ref="X36:Y36"/>
    <mergeCell ref="AD36:AE36"/>
    <mergeCell ref="D36:E36"/>
    <mergeCell ref="G36:I36"/>
    <mergeCell ref="K37:L37"/>
    <mergeCell ref="N37:O37"/>
    <mergeCell ref="P37:Q37"/>
    <mergeCell ref="T37:U37"/>
    <mergeCell ref="X37:Y37"/>
    <mergeCell ref="AD37:AE37"/>
    <mergeCell ref="D37:E37"/>
    <mergeCell ref="G37:I37"/>
    <mergeCell ref="D35:E35"/>
    <mergeCell ref="G35:I35"/>
    <mergeCell ref="K36:L36"/>
    <mergeCell ref="N36:O36"/>
    <mergeCell ref="P36:Q36"/>
    <mergeCell ref="T36:U36"/>
    <mergeCell ref="K35:L35"/>
    <mergeCell ref="N35:O35"/>
    <mergeCell ref="P35:Q35"/>
    <mergeCell ref="T35:U35"/>
    <mergeCell ref="X35:Y35"/>
    <mergeCell ref="AD35:AE35"/>
    <mergeCell ref="AD33:AE33"/>
    <mergeCell ref="K34:L34"/>
    <mergeCell ref="N34:O34"/>
    <mergeCell ref="P34:Q34"/>
    <mergeCell ref="T34:U34"/>
    <mergeCell ref="X34:Y34"/>
    <mergeCell ref="AD34:AE34"/>
    <mergeCell ref="K33:L33"/>
    <mergeCell ref="N33:O33"/>
    <mergeCell ref="P33:Q33"/>
    <mergeCell ref="T33:U33"/>
    <mergeCell ref="X33:Y33"/>
    <mergeCell ref="B29:C29"/>
    <mergeCell ref="G29:I29"/>
    <mergeCell ref="K31:L31"/>
    <mergeCell ref="N31:O31"/>
    <mergeCell ref="P31:Q31"/>
    <mergeCell ref="T31:U31"/>
    <mergeCell ref="X31:Y31"/>
    <mergeCell ref="AD31:AE31"/>
    <mergeCell ref="F31:I31"/>
    <mergeCell ref="K30:L30"/>
    <mergeCell ref="N30:O30"/>
    <mergeCell ref="P30:Q30"/>
    <mergeCell ref="T30:U30"/>
    <mergeCell ref="K29:L29"/>
    <mergeCell ref="N29:O29"/>
    <mergeCell ref="P29:Q29"/>
    <mergeCell ref="T29:U29"/>
    <mergeCell ref="X29:Y29"/>
    <mergeCell ref="AD29:AE29"/>
    <mergeCell ref="K32:L32"/>
    <mergeCell ref="N32:O32"/>
    <mergeCell ref="P32:Q32"/>
    <mergeCell ref="T32:U32"/>
    <mergeCell ref="X32:Y32"/>
    <mergeCell ref="AD32:AE32"/>
    <mergeCell ref="X30:Y30"/>
    <mergeCell ref="AD30:AE30"/>
    <mergeCell ref="B26:C26"/>
    <mergeCell ref="G26:I26"/>
    <mergeCell ref="K28:L28"/>
    <mergeCell ref="N28:O28"/>
    <mergeCell ref="P28:Q28"/>
    <mergeCell ref="T28:U28"/>
    <mergeCell ref="AD26:AE26"/>
    <mergeCell ref="K27:L27"/>
    <mergeCell ref="N27:O27"/>
    <mergeCell ref="P27:Q27"/>
    <mergeCell ref="T27:U27"/>
    <mergeCell ref="X27:Y27"/>
    <mergeCell ref="AD27:AE27"/>
    <mergeCell ref="B28:C28"/>
    <mergeCell ref="G28:I28"/>
    <mergeCell ref="X28:Y28"/>
    <mergeCell ref="AD28:AE28"/>
    <mergeCell ref="B27:C27"/>
    <mergeCell ref="G27:I27"/>
    <mergeCell ref="F24:I24"/>
    <mergeCell ref="K26:L26"/>
    <mergeCell ref="N26:O26"/>
    <mergeCell ref="P26:Q26"/>
    <mergeCell ref="T26:U26"/>
    <mergeCell ref="X26:Y26"/>
    <mergeCell ref="AD24:AE24"/>
    <mergeCell ref="K25:L25"/>
    <mergeCell ref="N25:O25"/>
    <mergeCell ref="P25:Q25"/>
    <mergeCell ref="T25:U25"/>
    <mergeCell ref="X25:Y25"/>
    <mergeCell ref="AD25:AE25"/>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F23:I23"/>
    <mergeCell ref="AD20:AE20"/>
    <mergeCell ref="K21:L21"/>
    <mergeCell ref="N21:O21"/>
    <mergeCell ref="P21:Q21"/>
    <mergeCell ref="T21:U21"/>
    <mergeCell ref="X21:Y21"/>
    <mergeCell ref="AD21:AE21"/>
    <mergeCell ref="F20:I20"/>
    <mergeCell ref="K20:L20"/>
    <mergeCell ref="N20:O20"/>
    <mergeCell ref="P20:Q20"/>
    <mergeCell ref="T20:U20"/>
    <mergeCell ref="X20:Y20"/>
    <mergeCell ref="K19:L19"/>
    <mergeCell ref="N19:O19"/>
    <mergeCell ref="P19:Q19"/>
    <mergeCell ref="T19:U19"/>
    <mergeCell ref="X19:Y19"/>
    <mergeCell ref="AD19:AE19"/>
    <mergeCell ref="AD17:AE17"/>
    <mergeCell ref="F18:I18"/>
    <mergeCell ref="K18:L18"/>
    <mergeCell ref="N18:O18"/>
    <mergeCell ref="P18:Q18"/>
    <mergeCell ref="T18:U18"/>
    <mergeCell ref="X18:Y18"/>
    <mergeCell ref="AD18:AE18"/>
    <mergeCell ref="F17:I17"/>
    <mergeCell ref="K17:L17"/>
    <mergeCell ref="N17:O17"/>
    <mergeCell ref="P17:Q17"/>
    <mergeCell ref="T17:U17"/>
    <mergeCell ref="X17:Y17"/>
    <mergeCell ref="F15:I15"/>
    <mergeCell ref="K15:L15"/>
    <mergeCell ref="N15:O15"/>
    <mergeCell ref="P15:Q15"/>
    <mergeCell ref="T15:U15"/>
    <mergeCell ref="K16:L16"/>
    <mergeCell ref="N16:O16"/>
    <mergeCell ref="P16:Q16"/>
    <mergeCell ref="T16:U16"/>
    <mergeCell ref="E11:F11"/>
    <mergeCell ref="G11:I11"/>
    <mergeCell ref="N11:O11"/>
    <mergeCell ref="P11:Q11"/>
    <mergeCell ref="F13:I13"/>
    <mergeCell ref="K13:L14"/>
    <mergeCell ref="M13:M14"/>
    <mergeCell ref="N13:O14"/>
    <mergeCell ref="P13:Q14"/>
    <mergeCell ref="F14:I14"/>
    <mergeCell ref="E8:I8"/>
    <mergeCell ref="N8:Q8"/>
    <mergeCell ref="E9:I9"/>
    <mergeCell ref="N9:Q9"/>
    <mergeCell ref="E10:I10"/>
    <mergeCell ref="N10:Q10"/>
    <mergeCell ref="G1:I1"/>
    <mergeCell ref="B3:I4"/>
    <mergeCell ref="K3:Q4"/>
    <mergeCell ref="E6:I6"/>
    <mergeCell ref="N6:Q6"/>
    <mergeCell ref="E7:I7"/>
    <mergeCell ref="N7:Q7"/>
  </mergeCells>
  <pageMargins left="0.59055118110236227" right="0.59055118110236227" top="0.82677165354330717" bottom="0.74803149606299213" header="0.31496062992125984" footer="0.31496062992125984"/>
  <pageSetup paperSize="14" scale="65" orientation="portrait" r:id="rId1"/>
  <headerFooter>
    <oddHeader xml:space="preserve">&amp;R&amp;"Century Gothic,Bold"&amp;18ANNEX A: 
SAMPLE PACKAGE COMPUTATION
</oddHeader>
  </headerFooter>
  <rowBreaks count="1" manualBreakCount="1">
    <brk id="81" max="29" man="1"/>
  </rowBreaks>
  <colBreaks count="2" manualBreakCount="2">
    <brk id="9" max="1048575" man="1"/>
    <brk id="17" max="68" man="1"/>
  </col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3"/>
  <dimension ref="A1:U124"/>
  <sheetViews>
    <sheetView showGridLines="0" showZeros="0" view="pageLayout" topLeftCell="A67" zoomScaleNormal="100" zoomScaleSheetLayoutView="85" workbookViewId="0">
      <selection activeCell="D115" sqref="D115"/>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27" t="str">
        <f>FORM!I14</f>
        <v>Building 1</v>
      </c>
      <c r="E21" s="1328"/>
      <c r="F21" s="1329"/>
      <c r="G21" s="50" t="s">
        <v>136</v>
      </c>
      <c r="H21" s="51"/>
      <c r="I21" s="52"/>
      <c r="J21" s="1330" t="str">
        <f>D21</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 t="shared" ref="J22:J23" si="0">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 t="shared" si="0"/>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'STANDARD COMP.'!E11</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30"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317">
        <f>'STEP UP with Lumpsum'!F13</f>
        <v>832787.56226250005</v>
      </c>
      <c r="J27" s="1318"/>
      <c r="K27" s="1318"/>
      <c r="L27" s="1318"/>
      <c r="M27" s="1318"/>
      <c r="N27" s="1318"/>
      <c r="O27" s="1318"/>
      <c r="P27" s="1318"/>
      <c r="Q27" s="1318"/>
      <c r="R27" s="1318"/>
      <c r="S27" s="1318"/>
      <c r="T27" s="1318"/>
      <c r="U27" s="1319"/>
    </row>
    <row r="28" spans="1:21" ht="14" x14ac:dyDescent="0.3">
      <c r="A28" s="50" t="s">
        <v>147</v>
      </c>
      <c r="B28" s="51"/>
      <c r="C28" s="53"/>
      <c r="D28" s="53"/>
      <c r="E28" s="53"/>
      <c r="F28" s="53"/>
      <c r="G28" s="53"/>
      <c r="H28" s="54"/>
      <c r="I28" s="1317">
        <f>'STEP UP with Lumpsum'!F14</f>
        <v>0</v>
      </c>
      <c r="J28" s="1318"/>
      <c r="K28" s="1318"/>
      <c r="L28" s="1318"/>
      <c r="M28" s="1318"/>
      <c r="N28" s="1318"/>
      <c r="O28" s="1318"/>
      <c r="P28" s="1318"/>
      <c r="Q28" s="1318"/>
      <c r="R28" s="1318"/>
      <c r="S28" s="1318"/>
      <c r="T28" s="1318"/>
      <c r="U28" s="1319"/>
    </row>
    <row r="29" spans="1:21" ht="14" x14ac:dyDescent="0.3">
      <c r="A29" s="60" t="s">
        <v>81</v>
      </c>
      <c r="B29" s="61"/>
      <c r="C29" s="62"/>
      <c r="D29" s="62"/>
      <c r="E29" s="62"/>
      <c r="F29" s="62"/>
      <c r="G29" s="62"/>
      <c r="H29" s="59"/>
      <c r="I29" s="1317">
        <f>'STEP UP with Lumpsum'!F15</f>
        <v>832787.56226250005</v>
      </c>
      <c r="J29" s="1318"/>
      <c r="K29" s="1318"/>
      <c r="L29" s="1318"/>
      <c r="M29" s="1318"/>
      <c r="N29" s="1318"/>
      <c r="O29" s="1318"/>
      <c r="P29" s="1318"/>
      <c r="Q29" s="1318"/>
      <c r="R29" s="1318"/>
      <c r="S29" s="1318"/>
      <c r="T29" s="1318"/>
      <c r="U29" s="1319"/>
    </row>
    <row r="30" spans="1:21" ht="14" x14ac:dyDescent="0.3">
      <c r="A30" s="50" t="s">
        <v>148</v>
      </c>
      <c r="B30" s="51"/>
      <c r="C30" s="53"/>
      <c r="D30" s="53"/>
      <c r="E30" s="53"/>
      <c r="F30" s="53"/>
      <c r="G30" s="53"/>
      <c r="H30" s="54"/>
      <c r="I30" s="1317">
        <f>'STEP UP with Lumpsum'!F18</f>
        <v>83278.756226250014</v>
      </c>
      <c r="J30" s="1318"/>
      <c r="K30" s="1318"/>
      <c r="L30" s="1318"/>
      <c r="M30" s="1318"/>
      <c r="N30" s="1318"/>
      <c r="O30" s="1318"/>
      <c r="P30" s="1318"/>
      <c r="Q30" s="1318"/>
      <c r="R30" s="1318"/>
      <c r="S30" s="1318"/>
      <c r="T30" s="1318"/>
      <c r="U30" s="1319"/>
    </row>
    <row r="31" spans="1:21" ht="14" x14ac:dyDescent="0.3">
      <c r="A31" s="50" t="s">
        <v>149</v>
      </c>
      <c r="B31" s="51"/>
      <c r="C31" s="53"/>
      <c r="D31" s="53"/>
      <c r="E31" s="53"/>
      <c r="F31" s="53"/>
      <c r="G31" s="53"/>
      <c r="H31" s="54"/>
      <c r="I31" s="1317">
        <f>'STEP UP with Lumpsum'!F17</f>
        <v>99934.507471500008</v>
      </c>
      <c r="J31" s="1318"/>
      <c r="K31" s="1318"/>
      <c r="L31" s="1318"/>
      <c r="M31" s="1318"/>
      <c r="N31" s="1318"/>
      <c r="O31" s="1318"/>
      <c r="P31" s="1318"/>
      <c r="Q31" s="1318"/>
      <c r="R31" s="1318"/>
      <c r="S31" s="1318"/>
      <c r="T31" s="1318"/>
      <c r="U31" s="1319"/>
    </row>
    <row r="32" spans="1:21" ht="14" x14ac:dyDescent="0.3">
      <c r="A32" s="50" t="s">
        <v>150</v>
      </c>
      <c r="B32" s="51"/>
      <c r="C32" s="53"/>
      <c r="D32" s="53"/>
      <c r="E32" s="53"/>
      <c r="F32" s="53"/>
      <c r="G32" s="53"/>
      <c r="H32" s="54"/>
      <c r="I32" s="1317">
        <f>'STEP UP with Lumpsum'!F20</f>
        <v>1016000.8259602501</v>
      </c>
      <c r="J32" s="1318"/>
      <c r="K32" s="1318"/>
      <c r="L32" s="1318"/>
      <c r="M32" s="1318"/>
      <c r="N32" s="1318"/>
      <c r="O32" s="1318"/>
      <c r="P32" s="1318"/>
      <c r="Q32" s="1318"/>
      <c r="R32" s="1318"/>
      <c r="S32" s="1318"/>
      <c r="T32" s="1318"/>
      <c r="U32" s="1319"/>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3" spans="1:21" x14ac:dyDescent="0.25">
      <c r="G113" s="33"/>
      <c r="H113" s="1311" t="str">
        <f>D3</f>
        <v>buyer</v>
      </c>
      <c r="I113" s="1311"/>
      <c r="J113" s="1311"/>
      <c r="K113" s="1311"/>
      <c r="L113" s="1311"/>
      <c r="M113" s="1311"/>
      <c r="N113" s="1311"/>
      <c r="O113" s="1311"/>
      <c r="P113" s="1311"/>
      <c r="Q113" s="1311"/>
    </row>
    <row r="114" spans="1:21" ht="25.5" customHeight="1" x14ac:dyDescent="0.25">
      <c r="A114" s="1312" t="s">
        <v>160</v>
      </c>
      <c r="B114" s="1312"/>
      <c r="C114" s="1312"/>
      <c r="D114" s="1312"/>
      <c r="E114" s="1312"/>
      <c r="F114" s="1312"/>
      <c r="G114" s="1312"/>
      <c r="H114" s="1312"/>
      <c r="I114" s="1312"/>
      <c r="J114" s="1312"/>
      <c r="K114" s="1312"/>
      <c r="L114" s="1312"/>
      <c r="M114" s="1312"/>
      <c r="N114" s="1312"/>
      <c r="O114" s="1312"/>
      <c r="P114" s="1312"/>
      <c r="Q114" s="1312"/>
      <c r="R114" s="1312"/>
      <c r="S114" s="1312"/>
      <c r="T114" s="1312"/>
      <c r="U114" s="1312"/>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33"/>
      <c r="B116" s="33"/>
      <c r="C116" s="33"/>
      <c r="D116" s="33"/>
      <c r="E116" s="33"/>
      <c r="F116" s="33"/>
      <c r="G116" s="33"/>
      <c r="H116" s="33"/>
      <c r="I116" s="33"/>
      <c r="J116" s="33"/>
      <c r="K116" s="33"/>
      <c r="L116" s="33"/>
      <c r="M116" s="33"/>
      <c r="N116" s="33"/>
      <c r="O116" s="33"/>
      <c r="P116" s="33"/>
      <c r="Q116" s="33"/>
      <c r="R116" s="33"/>
      <c r="S116" s="33"/>
      <c r="T116" s="33"/>
      <c r="U116" s="33"/>
    </row>
    <row r="117" spans="1:21" x14ac:dyDescent="0.25">
      <c r="A117" s="1313" t="s">
        <v>161</v>
      </c>
      <c r="B117" s="1313"/>
      <c r="C117" s="1313"/>
      <c r="D117" s="1313"/>
      <c r="E117" s="1313"/>
      <c r="F117" s="1313"/>
      <c r="G117" s="1313"/>
      <c r="H117" s="1313"/>
      <c r="I117" s="1313"/>
      <c r="J117" s="1313"/>
      <c r="K117" s="1313"/>
      <c r="L117" s="1313"/>
      <c r="M117" s="1313"/>
      <c r="N117" s="1313"/>
      <c r="O117" s="1313"/>
      <c r="P117" s="1313"/>
      <c r="Q117" s="1313"/>
      <c r="R117" s="1313"/>
      <c r="S117" s="1313"/>
      <c r="T117" s="1313"/>
      <c r="U117" s="1313"/>
    </row>
    <row r="118" spans="1:21" ht="21.75" customHeight="1" x14ac:dyDescent="0.25">
      <c r="A118" s="1314" t="str">
        <f>H8</f>
        <v>Iloilo Southprime Developers Inc.</v>
      </c>
      <c r="B118" s="1314"/>
      <c r="C118" s="1314"/>
      <c r="D118" s="1314"/>
      <c r="E118" s="1314"/>
      <c r="F118" s="1314"/>
      <c r="G118" s="1314"/>
      <c r="H118" s="1314"/>
      <c r="I118" s="1314"/>
      <c r="J118" s="1314"/>
      <c r="K118" s="1314"/>
      <c r="L118" s="1314"/>
      <c r="M118" s="1314"/>
      <c r="N118" s="1314"/>
      <c r="O118" s="1314"/>
      <c r="P118" s="1314"/>
      <c r="Q118" s="1314"/>
      <c r="R118" s="1314"/>
      <c r="S118" s="1314"/>
      <c r="T118" s="1314"/>
      <c r="U118" s="1314"/>
    </row>
    <row r="119" spans="1:21" x14ac:dyDescent="0.25">
      <c r="A119" s="33"/>
      <c r="B119" s="33"/>
      <c r="C119" s="33"/>
      <c r="D119" s="33"/>
      <c r="E119" s="33"/>
      <c r="F119" s="33"/>
      <c r="G119" s="33"/>
      <c r="H119" s="33"/>
      <c r="I119" s="33"/>
      <c r="J119" s="33"/>
      <c r="K119" s="33"/>
      <c r="L119" s="33"/>
      <c r="M119" s="33"/>
      <c r="N119" s="33"/>
      <c r="O119" s="33"/>
      <c r="P119" s="33"/>
      <c r="Q119" s="33"/>
      <c r="R119" s="33"/>
      <c r="S119" s="33"/>
      <c r="T119" s="33"/>
      <c r="U119" s="33"/>
    </row>
    <row r="120" spans="1:21" x14ac:dyDescent="0.25">
      <c r="A120" s="33"/>
      <c r="B120" s="33"/>
      <c r="C120" s="33"/>
      <c r="D120" s="33"/>
      <c r="E120" s="33"/>
      <c r="F120" s="33"/>
      <c r="G120" s="33"/>
      <c r="H120" s="34"/>
      <c r="I120" s="34"/>
      <c r="J120" s="34"/>
      <c r="K120" s="34"/>
      <c r="L120" s="34"/>
      <c r="M120" s="34"/>
      <c r="N120" s="34"/>
      <c r="O120" s="34"/>
      <c r="P120" s="34"/>
      <c r="Q120" s="34"/>
      <c r="R120" s="33"/>
      <c r="S120" s="33"/>
      <c r="T120" s="33"/>
      <c r="U120" s="33"/>
    </row>
    <row r="124" spans="1:21" x14ac:dyDescent="0.25">
      <c r="I124" s="63"/>
    </row>
  </sheetData>
  <sheetProtection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3:Q113"/>
    <mergeCell ref="A114:U114"/>
    <mergeCell ref="A117:U117"/>
    <mergeCell ref="A118:U118"/>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860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8610"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6861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861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861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861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861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861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8617"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68618"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6861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862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862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862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862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862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862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862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862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tabColor theme="5"/>
  </sheetPr>
  <dimension ref="A1:BA123"/>
  <sheetViews>
    <sheetView showGridLines="0" showZeros="0" view="pageLayout" topLeftCell="A16" zoomScale="85" zoomScaleNormal="90" zoomScaleSheetLayoutView="55" zoomScalePageLayoutView="85" workbookViewId="0">
      <selection activeCell="D36" sqref="D36:E36"/>
    </sheetView>
  </sheetViews>
  <sheetFormatPr defaultColWidth="9.1796875" defaultRowHeight="13.5" x14ac:dyDescent="0.25"/>
  <cols>
    <col min="1" max="1" width="1.1796875" style="7" customWidth="1"/>
    <col min="2" max="2" width="12" style="7" customWidth="1"/>
    <col min="3" max="3" width="28.1796875" style="7" customWidth="1"/>
    <col min="4" max="4" width="21" style="101" customWidth="1"/>
    <col min="5" max="5" width="19.81640625" style="7" customWidth="1"/>
    <col min="6" max="6" width="17.1796875" style="7" customWidth="1"/>
    <col min="7" max="7" width="18.81640625" style="7" customWidth="1"/>
    <col min="8" max="8" width="11.1796875" style="7" customWidth="1"/>
    <col min="9" max="9" width="7" style="7" customWidth="1"/>
    <col min="10" max="10" width="0.81640625" style="7" customWidth="1"/>
    <col min="11" max="11" width="9.1796875" style="7"/>
    <col min="12" max="12" width="26" style="7" customWidth="1"/>
    <col min="13" max="13" width="22.1796875" style="235" customWidth="1"/>
    <col min="14" max="14" width="12.1796875" style="7" customWidth="1"/>
    <col min="15" max="16" width="18.81640625" style="7" customWidth="1"/>
    <col min="17" max="17" width="25.81640625" style="7" customWidth="1"/>
    <col min="18" max="18" width="4.81640625" style="7" customWidth="1"/>
    <col min="19" max="19" width="4.453125" style="7" customWidth="1"/>
    <col min="20" max="20" width="36.90625" style="7" hidden="1" customWidth="1"/>
    <col min="21" max="21" width="5.90625" style="7" hidden="1" customWidth="1"/>
    <col min="22" max="22" width="11.81640625" style="521" hidden="1" customWidth="1"/>
    <col min="23" max="23" width="9.81640625" style="7" hidden="1" customWidth="1"/>
    <col min="24" max="25" width="9.1796875" style="522" hidden="1" customWidth="1"/>
    <col min="26" max="26" width="15.54296875" style="7" hidden="1" customWidth="1"/>
    <col min="27" max="28" width="9.1796875" style="7" hidden="1" customWidth="1"/>
    <col min="29" max="29" width="0" style="7" hidden="1" customWidth="1"/>
    <col min="30" max="31" width="9.1796875" style="7" hidden="1" customWidth="1"/>
    <col min="32" max="16384" width="9.1796875" style="7"/>
  </cols>
  <sheetData>
    <row r="1" spans="1:53" s="105" customFormat="1" ht="12.5" x14ac:dyDescent="0.25">
      <c r="B1" s="239" t="s">
        <v>2</v>
      </c>
      <c r="C1" s="499">
        <f>FORM!I20</f>
        <v>45901</v>
      </c>
      <c r="D1" s="238"/>
      <c r="F1" s="178" t="s">
        <v>91</v>
      </c>
      <c r="G1" s="1206" t="s">
        <v>88</v>
      </c>
      <c r="H1" s="1206"/>
      <c r="I1" s="1206"/>
      <c r="J1" s="107"/>
      <c r="K1" s="239" t="s">
        <v>2</v>
      </c>
      <c r="L1" s="499">
        <f>C1</f>
        <v>45901</v>
      </c>
      <c r="M1" s="630"/>
      <c r="O1" s="631"/>
      <c r="P1" s="178" t="s">
        <v>92</v>
      </c>
      <c r="Q1" s="515" t="s">
        <v>90</v>
      </c>
      <c r="V1" s="516"/>
    </row>
    <row r="2" spans="1:53" s="105" customFormat="1" ht="7.5" customHeight="1" x14ac:dyDescent="0.25">
      <c r="C2" s="106"/>
      <c r="D2" s="106"/>
      <c r="K2" s="183"/>
      <c r="L2" s="183"/>
      <c r="M2" s="183"/>
      <c r="N2" s="183"/>
      <c r="O2" s="183"/>
      <c r="P2" s="183"/>
      <c r="Q2" s="183"/>
      <c r="V2" s="516"/>
    </row>
    <row r="3" spans="1:53" s="105" customFormat="1" ht="14.25" customHeight="1" x14ac:dyDescent="0.25">
      <c r="B3" s="1214" t="str">
        <f>'INTERNAL PRICELIST'!W25</f>
        <v>12.5% Equity Step-up, 2.5% Lumpsum</v>
      </c>
      <c r="C3" s="1214"/>
      <c r="D3" s="1214"/>
      <c r="E3" s="1214"/>
      <c r="F3" s="1214"/>
      <c r="G3" s="1214"/>
      <c r="H3" s="1214"/>
      <c r="I3" s="1214"/>
      <c r="J3" s="517"/>
      <c r="K3" s="1214" t="s">
        <v>3</v>
      </c>
      <c r="L3" s="1214"/>
      <c r="M3" s="1214"/>
      <c r="N3" s="1214"/>
      <c r="O3" s="1214"/>
      <c r="P3" s="1214"/>
      <c r="Q3" s="1214"/>
      <c r="V3" s="516"/>
    </row>
    <row r="4" spans="1:53" s="105" customFormat="1" ht="12.75" customHeight="1" x14ac:dyDescent="0.25">
      <c r="B4" s="1214"/>
      <c r="C4" s="1214"/>
      <c r="D4" s="1214"/>
      <c r="E4" s="1214"/>
      <c r="F4" s="1214"/>
      <c r="G4" s="1214"/>
      <c r="H4" s="1214"/>
      <c r="I4" s="1214"/>
      <c r="J4" s="517"/>
      <c r="K4" s="1214"/>
      <c r="L4" s="1214"/>
      <c r="M4" s="1214"/>
      <c r="N4" s="1214"/>
      <c r="O4" s="1214"/>
      <c r="P4" s="1214"/>
      <c r="Q4" s="1214"/>
      <c r="V4" s="516"/>
    </row>
    <row r="5" spans="1:53" s="105" customFormat="1" ht="12.75" customHeight="1" x14ac:dyDescent="0.25">
      <c r="B5" s="266"/>
      <c r="C5" s="266"/>
      <c r="D5" s="367"/>
      <c r="E5" s="116"/>
      <c r="F5" s="116"/>
      <c r="G5" s="116"/>
      <c r="H5" s="116"/>
      <c r="I5" s="116"/>
      <c r="J5" s="266"/>
      <c r="K5" s="518"/>
      <c r="L5" s="519"/>
      <c r="M5" s="520"/>
      <c r="N5" s="519"/>
      <c r="O5" s="519"/>
      <c r="P5" s="519"/>
      <c r="Q5" s="520"/>
      <c r="V5" s="516"/>
    </row>
    <row r="6" spans="1:53" s="122" customFormat="1" ht="12.5" x14ac:dyDescent="0.25">
      <c r="A6" s="123"/>
      <c r="B6" s="391" t="s">
        <v>4</v>
      </c>
      <c r="C6" s="392"/>
      <c r="D6" s="194" t="s">
        <v>5</v>
      </c>
      <c r="E6" s="1207" t="str">
        <f>'STANDARD COMP.'!E6:I6</f>
        <v>buyer</v>
      </c>
      <c r="F6" s="1208"/>
      <c r="G6" s="1208"/>
      <c r="H6" s="1208"/>
      <c r="I6" s="1209"/>
      <c r="J6" s="200"/>
      <c r="K6" s="391" t="str">
        <f>B6</f>
        <v>CLIENT'S NAME</v>
      </c>
      <c r="L6" s="396"/>
      <c r="M6" s="194" t="s">
        <v>5</v>
      </c>
      <c r="N6" s="1205" t="str">
        <f>E6</f>
        <v>buyer</v>
      </c>
      <c r="O6" s="1205"/>
      <c r="P6" s="1205"/>
      <c r="Q6" s="1205"/>
      <c r="V6" s="632"/>
      <c r="X6" s="105"/>
      <c r="Y6" s="105"/>
      <c r="AM6" s="383"/>
      <c r="AZ6" s="384"/>
      <c r="BA6" s="385"/>
    </row>
    <row r="7" spans="1:53" s="122" customFormat="1" ht="12.5" x14ac:dyDescent="0.25">
      <c r="A7" s="123"/>
      <c r="B7" s="204" t="s">
        <v>6</v>
      </c>
      <c r="C7" s="393"/>
      <c r="D7" s="194" t="s">
        <v>5</v>
      </c>
      <c r="E7" s="1207" t="str">
        <f>'STANDARD COMP.'!E7:I7</f>
        <v>The Southprime Flats</v>
      </c>
      <c r="F7" s="1208"/>
      <c r="G7" s="1208"/>
      <c r="H7" s="1208"/>
      <c r="I7" s="1209"/>
      <c r="J7" s="200"/>
      <c r="K7" s="391" t="str">
        <f t="shared" ref="K7:K11" si="0">B7</f>
        <v>PROJECT NAME</v>
      </c>
      <c r="L7" s="213"/>
      <c r="M7" s="194" t="s">
        <v>5</v>
      </c>
      <c r="N7" s="1205" t="str">
        <f>E7</f>
        <v>The Southprime Flats</v>
      </c>
      <c r="O7" s="1205"/>
      <c r="P7" s="1205"/>
      <c r="Q7" s="1205"/>
      <c r="V7" s="632"/>
      <c r="X7" s="105"/>
      <c r="Y7" s="105"/>
      <c r="AM7" s="383"/>
      <c r="AZ7" s="384"/>
      <c r="BA7" s="385"/>
    </row>
    <row r="8" spans="1:53" s="122" customFormat="1" ht="12.5" x14ac:dyDescent="0.25">
      <c r="A8" s="123"/>
      <c r="B8" s="391" t="s">
        <v>278</v>
      </c>
      <c r="C8" s="393"/>
      <c r="D8" s="194" t="s">
        <v>5</v>
      </c>
      <c r="E8" s="1207" t="str">
        <f>'STANDARD COMP.'!E8:I8</f>
        <v>GF-B1-12</v>
      </c>
      <c r="F8" s="1208"/>
      <c r="G8" s="1208"/>
      <c r="H8" s="1208"/>
      <c r="I8" s="1209"/>
      <c r="J8" s="200"/>
      <c r="K8" s="391" t="str">
        <f t="shared" si="0"/>
        <v>PARKING SLOT NUMBER</v>
      </c>
      <c r="L8" s="213"/>
      <c r="M8" s="194" t="s">
        <v>5</v>
      </c>
      <c r="N8" s="1205" t="str">
        <f>E8</f>
        <v>GF-B1-12</v>
      </c>
      <c r="O8" s="1205"/>
      <c r="P8" s="1205"/>
      <c r="Q8" s="1205"/>
      <c r="V8" s="632"/>
      <c r="X8" s="105"/>
      <c r="Y8" s="105"/>
      <c r="AM8" s="383"/>
      <c r="AZ8" s="384"/>
      <c r="BA8" s="385"/>
    </row>
    <row r="9" spans="1:53" s="122" customFormat="1" ht="12.5" x14ac:dyDescent="0.25">
      <c r="A9" s="123"/>
      <c r="B9" s="204" t="s">
        <v>315</v>
      </c>
      <c r="C9" s="393"/>
      <c r="D9" s="194" t="s">
        <v>5</v>
      </c>
      <c r="E9" s="1207" t="str">
        <f>'STANDARD COMP.'!E9:I9</f>
        <v>Building 1</v>
      </c>
      <c r="F9" s="1208"/>
      <c r="G9" s="1208"/>
      <c r="H9" s="1208"/>
      <c r="I9" s="1209"/>
      <c r="J9" s="200"/>
      <c r="K9" s="391" t="str">
        <f t="shared" si="0"/>
        <v>BUILDING</v>
      </c>
      <c r="L9" s="213"/>
      <c r="M9" s="194" t="s">
        <v>5</v>
      </c>
      <c r="N9" s="1205" t="str">
        <f>[1]FORM!I14</f>
        <v>TOWER 1</v>
      </c>
      <c r="O9" s="1205"/>
      <c r="P9" s="1205"/>
      <c r="Q9" s="1205"/>
      <c r="V9" s="632"/>
      <c r="X9" s="105"/>
      <c r="Y9" s="105"/>
      <c r="AM9" s="383"/>
      <c r="AZ9" s="384"/>
      <c r="BA9" s="385"/>
    </row>
    <row r="10" spans="1:53" s="122" customFormat="1" ht="12.5" x14ac:dyDescent="0.25">
      <c r="A10" s="123"/>
      <c r="B10" s="204" t="s">
        <v>279</v>
      </c>
      <c r="C10" s="393"/>
      <c r="D10" s="194" t="s">
        <v>5</v>
      </c>
      <c r="E10" s="1207" t="str">
        <f>'STANDARD COMP.'!E10:I10</f>
        <v>Single Slot</v>
      </c>
      <c r="F10" s="1208"/>
      <c r="G10" s="1208"/>
      <c r="H10" s="1208"/>
      <c r="I10" s="1209"/>
      <c r="J10" s="200"/>
      <c r="K10" s="391" t="str">
        <f t="shared" si="0"/>
        <v>PARKING MODEL</v>
      </c>
      <c r="L10" s="213"/>
      <c r="M10" s="194" t="s">
        <v>5</v>
      </c>
      <c r="N10" s="1205" t="str">
        <f>E10</f>
        <v>Single Slot</v>
      </c>
      <c r="O10" s="1205"/>
      <c r="P10" s="1205"/>
      <c r="Q10" s="1205"/>
      <c r="V10" s="632"/>
      <c r="X10" s="105"/>
      <c r="Y10" s="105"/>
      <c r="AM10" s="383"/>
      <c r="AZ10" s="384"/>
      <c r="BA10" s="385"/>
    </row>
    <row r="11" spans="1:53" s="122" customFormat="1" ht="12.5" x14ac:dyDescent="0.25">
      <c r="A11" s="123"/>
      <c r="B11" s="204" t="s">
        <v>280</v>
      </c>
      <c r="C11" s="393"/>
      <c r="D11" s="194" t="s">
        <v>5</v>
      </c>
      <c r="E11" s="1217">
        <f>'STANDARD COMP.'!E11:F11</f>
        <v>13.5</v>
      </c>
      <c r="F11" s="1218"/>
      <c r="G11" s="1219" t="s">
        <v>11</v>
      </c>
      <c r="H11" s="1219"/>
      <c r="I11" s="1220"/>
      <c r="J11" s="200"/>
      <c r="K11" s="391" t="str">
        <f t="shared" si="0"/>
        <v>TOTAL AREA</v>
      </c>
      <c r="L11" s="213"/>
      <c r="M11" s="194" t="s">
        <v>5</v>
      </c>
      <c r="N11" s="1260">
        <f>E11</f>
        <v>13.5</v>
      </c>
      <c r="O11" s="1261"/>
      <c r="P11" s="1262" t="s">
        <v>11</v>
      </c>
      <c r="Q11" s="1263"/>
      <c r="V11" s="632"/>
      <c r="X11" s="105"/>
      <c r="Y11" s="105"/>
      <c r="AM11" s="383"/>
      <c r="AZ11" s="384"/>
      <c r="BA11" s="385"/>
    </row>
    <row r="12" spans="1:53" s="122" customFormat="1" ht="12.5" x14ac:dyDescent="0.25">
      <c r="B12" s="123"/>
      <c r="C12" s="123"/>
      <c r="D12" s="194"/>
      <c r="E12" s="123"/>
      <c r="F12" s="123"/>
      <c r="G12" s="123"/>
      <c r="H12" s="123"/>
      <c r="I12" s="123"/>
      <c r="M12" s="248"/>
      <c r="V12" s="632"/>
      <c r="X12" s="105"/>
      <c r="Y12" s="105"/>
    </row>
    <row r="13" spans="1:53" s="122" customFormat="1" ht="12.5" x14ac:dyDescent="0.25">
      <c r="B13" s="198" t="s">
        <v>16</v>
      </c>
      <c r="C13" s="392"/>
      <c r="D13" s="200" t="s">
        <v>5</v>
      </c>
      <c r="E13" s="201"/>
      <c r="F13" s="1264">
        <f>'STANDARD COMP.'!F13:I13</f>
        <v>832787.56226250005</v>
      </c>
      <c r="G13" s="1264"/>
      <c r="H13" s="1264"/>
      <c r="I13" s="1265"/>
      <c r="J13" s="8"/>
      <c r="K13" s="1221" t="s">
        <v>12</v>
      </c>
      <c r="L13" s="1221"/>
      <c r="M13" s="1222" t="s">
        <v>13</v>
      </c>
      <c r="N13" s="1221" t="s">
        <v>14</v>
      </c>
      <c r="O13" s="1221"/>
      <c r="P13" s="1224" t="s">
        <v>15</v>
      </c>
      <c r="Q13" s="1225"/>
      <c r="V13" s="632"/>
      <c r="X13" s="105"/>
      <c r="Y13" s="105"/>
    </row>
    <row r="14" spans="1:53" s="8" customFormat="1" ht="12.5" x14ac:dyDescent="0.25">
      <c r="B14" s="204" t="s">
        <v>167</v>
      </c>
      <c r="C14" s="213"/>
      <c r="D14" s="194" t="s">
        <v>5</v>
      </c>
      <c r="E14" s="633"/>
      <c r="F14" s="1264">
        <f>'STANDARD COMP.'!F14:I14</f>
        <v>0</v>
      </c>
      <c r="G14" s="1264"/>
      <c r="H14" s="1264"/>
      <c r="I14" s="1265"/>
      <c r="J14" s="122"/>
      <c r="K14" s="1221"/>
      <c r="L14" s="1221"/>
      <c r="M14" s="1222"/>
      <c r="N14" s="1221"/>
      <c r="O14" s="1221"/>
      <c r="P14" s="1226"/>
      <c r="Q14" s="1227"/>
      <c r="V14" s="634"/>
      <c r="W14" s="8">
        <f>SUM(F28:F30)</f>
        <v>0</v>
      </c>
      <c r="X14" s="635"/>
      <c r="Y14" s="635"/>
    </row>
    <row r="15" spans="1:53" s="122" customFormat="1" ht="12.5" x14ac:dyDescent="0.25">
      <c r="B15" s="171" t="s">
        <v>19</v>
      </c>
      <c r="C15" s="130"/>
      <c r="D15" s="200" t="s">
        <v>5</v>
      </c>
      <c r="E15" s="636"/>
      <c r="F15" s="1266">
        <f>F13-F14</f>
        <v>832787.56226250005</v>
      </c>
      <c r="G15" s="1264"/>
      <c r="H15" s="1264"/>
      <c r="I15" s="1265"/>
      <c r="J15" s="8"/>
      <c r="K15" s="1205" t="s">
        <v>17</v>
      </c>
      <c r="L15" s="1205"/>
      <c r="M15" s="404">
        <f>C1</f>
        <v>45901</v>
      </c>
      <c r="N15" s="1223">
        <f>F23</f>
        <v>10000</v>
      </c>
      <c r="O15" s="1223"/>
      <c r="P15" s="1189"/>
      <c r="Q15" s="1190"/>
      <c r="T15" s="1267" t="s">
        <v>227</v>
      </c>
      <c r="U15" s="1268"/>
      <c r="V15" s="637">
        <f>C1</f>
        <v>45901</v>
      </c>
      <c r="W15" s="632">
        <f>EDATE(V15,W14)</f>
        <v>45901</v>
      </c>
      <c r="X15" s="105"/>
      <c r="Y15" s="105"/>
    </row>
    <row r="16" spans="1:53" s="8" customFormat="1" ht="12.5" x14ac:dyDescent="0.25">
      <c r="B16" s="210"/>
      <c r="C16" s="123"/>
      <c r="D16" s="194"/>
      <c r="E16" s="395"/>
      <c r="F16" s="638"/>
      <c r="G16" s="638"/>
      <c r="H16" s="638"/>
      <c r="I16" s="639"/>
      <c r="J16" s="122"/>
      <c r="K16" s="1205">
        <f t="shared" ref="K16:K42" si="1">IF(N16&gt;1,T16,0)</f>
        <v>0</v>
      </c>
      <c r="L16" s="1205"/>
      <c r="M16" s="524" t="str">
        <f t="shared" ref="M16:M66" si="2">IF(N16&gt;1,V16,"")</f>
        <v/>
      </c>
      <c r="N16" s="1269"/>
      <c r="O16" s="1269"/>
      <c r="P16" s="1189"/>
      <c r="Q16" s="1190"/>
      <c r="T16" s="1205" t="s">
        <v>219</v>
      </c>
      <c r="U16" s="1205"/>
      <c r="V16" s="640">
        <f>IF(DAY(V15)=31,X19,Z19)</f>
        <v>45935</v>
      </c>
      <c r="X16" s="6"/>
      <c r="Y16" s="6"/>
    </row>
    <row r="17" spans="1:31" s="122" customFormat="1" ht="13" x14ac:dyDescent="0.3">
      <c r="B17" s="213" t="s">
        <v>23</v>
      </c>
      <c r="C17" s="213"/>
      <c r="D17" s="194" t="s">
        <v>5</v>
      </c>
      <c r="E17" s="214">
        <v>0.12</v>
      </c>
      <c r="F17" s="1274">
        <f>'STANDARD COMP.'!F17:I17</f>
        <v>99934.507471500008</v>
      </c>
      <c r="G17" s="1275"/>
      <c r="H17" s="1275"/>
      <c r="I17" s="1276"/>
      <c r="K17" s="1205">
        <f t="shared" si="1"/>
        <v>0</v>
      </c>
      <c r="L17" s="1205"/>
      <c r="M17" s="524" t="str">
        <f t="shared" si="2"/>
        <v/>
      </c>
      <c r="N17" s="1269"/>
      <c r="O17" s="1269"/>
      <c r="P17" s="1189"/>
      <c r="Q17" s="1190"/>
      <c r="T17" s="1189" t="s">
        <v>21</v>
      </c>
      <c r="U17" s="1190"/>
      <c r="V17" s="641">
        <f t="shared" ref="V17:V66" si="3">IF(AND(DAY(V16)&gt;=6,DAY(V16)&lt;=20),DATE(YEAR(V16),MONTH(V16)+1,DAY(20)),IF(AND(DAY(V16)&gt;=21,DAY(V16)&lt;=30),DATE(YEAR(V16),MONTH(V16)+1,IF(DAY(EOMONTH(V16,1))&lt;30,DAY(EOMONTH(V16,1)),DAY(30))),DATE(YEAR(V16),MONTH(V16)+1,DAY(5))))</f>
        <v>45966</v>
      </c>
      <c r="X17" s="1277" t="s">
        <v>228</v>
      </c>
      <c r="Y17" s="1277"/>
      <c r="AD17" s="1189"/>
      <c r="AE17" s="1190"/>
    </row>
    <row r="18" spans="1:31" s="122" customFormat="1" ht="12.5" x14ac:dyDescent="0.25">
      <c r="B18" s="410" t="s">
        <v>25</v>
      </c>
      <c r="C18" s="166"/>
      <c r="D18" s="194" t="s">
        <v>5</v>
      </c>
      <c r="E18" s="642">
        <v>0.1</v>
      </c>
      <c r="F18" s="1272">
        <f>E18*F13</f>
        <v>83278.756226250014</v>
      </c>
      <c r="G18" s="1272"/>
      <c r="H18" s="1272"/>
      <c r="I18" s="1273"/>
      <c r="K18" s="1205">
        <f t="shared" si="1"/>
        <v>0</v>
      </c>
      <c r="L18" s="1205"/>
      <c r="M18" s="524" t="str">
        <f t="shared" si="2"/>
        <v/>
      </c>
      <c r="N18" s="1269"/>
      <c r="O18" s="1269"/>
      <c r="P18" s="1189"/>
      <c r="Q18" s="1190"/>
      <c r="T18" s="1205" t="s">
        <v>22</v>
      </c>
      <c r="U18" s="1205"/>
      <c r="V18" s="641">
        <f t="shared" si="3"/>
        <v>45996</v>
      </c>
      <c r="W18" s="643" t="s">
        <v>229</v>
      </c>
      <c r="X18" s="1270" t="b">
        <f>IF(DAY(V15)=31,DATE(YEAR(W15),MONTH(W15)+2,DAY(5)))</f>
        <v>0</v>
      </c>
      <c r="Y18" s="1271"/>
      <c r="Z18" s="644">
        <f>IF(AND(DAY(W15)&gt;=6,DAY(W15)&lt;=20),DATE(YEAR(W15),MONTH(W15)+1,DAY(20)),IF(AND(DAY(W15)&gt;=21,DAY(W15)&lt;=31),DATE(YEAR(W15),MONTH(W15)+1,IF(DAY(EOMONTH(W15,1))&lt;30,DAY(EOMONTH(W15,1)),DAY(30))),DATE(YEAR(W15),MONTH(W15)+1,DAY(5))))</f>
        <v>45935</v>
      </c>
      <c r="AD18" s="1189"/>
      <c r="AE18" s="1190"/>
    </row>
    <row r="19" spans="1:31" s="122" customFormat="1" ht="12.5" x14ac:dyDescent="0.25">
      <c r="B19" s="210"/>
      <c r="C19" s="123"/>
      <c r="D19" s="194"/>
      <c r="E19" s="645"/>
      <c r="F19" s="646"/>
      <c r="G19" s="647"/>
      <c r="H19" s="647"/>
      <c r="I19" s="215"/>
      <c r="K19" s="1205">
        <f t="shared" si="1"/>
        <v>0</v>
      </c>
      <c r="L19" s="1205"/>
      <c r="M19" s="524" t="str">
        <f t="shared" si="2"/>
        <v/>
      </c>
      <c r="N19" s="1269"/>
      <c r="O19" s="1269"/>
      <c r="P19" s="1189"/>
      <c r="Q19" s="1190"/>
      <c r="T19" s="1205" t="s">
        <v>24</v>
      </c>
      <c r="U19" s="1205"/>
      <c r="V19" s="641">
        <f t="shared" si="3"/>
        <v>46027</v>
      </c>
      <c r="W19" s="643" t="s">
        <v>230</v>
      </c>
      <c r="X19" s="1270" t="b">
        <f>IF(DAY(V15)=31,DATE(YEAR(V15),MONTH(V15)+2,DAY(5)))</f>
        <v>0</v>
      </c>
      <c r="Y19" s="1271"/>
      <c r="Z19" s="644">
        <f>IF(AND(DAY(V15)&gt;=6,DAY(V15)&lt;=20),DATE(YEAR(V15),MONTH(V15)+1,DAY(20)),IF(AND(DAY(V15)&gt;=21,DAY(V15)&lt;=30),DATE(YEAR(V15),MONTH(V15)+1,IF(DAY(EOMONTH(V15,1))&lt;31,DAY(EOMONTH(V15,1)),DAY(30))),DATE(YEAR(V15),MONTH(V15)+1,DAY(5))))</f>
        <v>45935</v>
      </c>
      <c r="AD19" s="1189"/>
      <c r="AE19" s="1190"/>
    </row>
    <row r="20" spans="1:31" s="122" customFormat="1" ht="13" x14ac:dyDescent="0.3">
      <c r="B20" s="171" t="s">
        <v>28</v>
      </c>
      <c r="C20" s="130"/>
      <c r="D20" s="200" t="s">
        <v>5</v>
      </c>
      <c r="E20" s="488"/>
      <c r="F20" s="1278">
        <f>SUM(F17:I18,F15)</f>
        <v>1016000.8259602501</v>
      </c>
      <c r="G20" s="1278"/>
      <c r="H20" s="1278"/>
      <c r="I20" s="1279"/>
      <c r="K20" s="1205">
        <f t="shared" si="1"/>
        <v>0</v>
      </c>
      <c r="L20" s="1205"/>
      <c r="M20" s="524" t="str">
        <f t="shared" si="2"/>
        <v/>
      </c>
      <c r="N20" s="1269"/>
      <c r="O20" s="1269"/>
      <c r="P20" s="1189"/>
      <c r="Q20" s="1190"/>
      <c r="T20" s="1205" t="s">
        <v>26</v>
      </c>
      <c r="U20" s="1205"/>
      <c r="V20" s="641">
        <f t="shared" si="3"/>
        <v>46058</v>
      </c>
      <c r="X20" s="1277"/>
      <c r="Y20" s="1277"/>
      <c r="AD20" s="1189"/>
      <c r="AE20" s="1190"/>
    </row>
    <row r="21" spans="1:31" s="122" customFormat="1" ht="13" x14ac:dyDescent="0.3">
      <c r="A21" s="8"/>
      <c r="B21" s="210"/>
      <c r="C21" s="123"/>
      <c r="D21" s="194"/>
      <c r="E21" s="194"/>
      <c r="F21" s="212"/>
      <c r="G21" s="212"/>
      <c r="H21" s="212"/>
      <c r="I21" s="123"/>
      <c r="J21" s="8"/>
      <c r="K21" s="1205">
        <f t="shared" si="1"/>
        <v>0</v>
      </c>
      <c r="L21" s="1205"/>
      <c r="M21" s="524" t="str">
        <f t="shared" si="2"/>
        <v/>
      </c>
      <c r="N21" s="1269"/>
      <c r="O21" s="1269"/>
      <c r="P21" s="1189"/>
      <c r="Q21" s="1190"/>
      <c r="T21" s="1205" t="s">
        <v>27</v>
      </c>
      <c r="U21" s="1205"/>
      <c r="V21" s="641">
        <f t="shared" si="3"/>
        <v>46086</v>
      </c>
      <c r="X21" s="1277"/>
      <c r="Y21" s="1277"/>
      <c r="AD21" s="1189"/>
      <c r="AE21" s="1190"/>
    </row>
    <row r="22" spans="1:31" s="8" customFormat="1" ht="13" x14ac:dyDescent="0.3">
      <c r="A22" s="122"/>
      <c r="B22" s="171" t="s">
        <v>32</v>
      </c>
      <c r="C22" s="392"/>
      <c r="D22" s="200" t="s">
        <v>5</v>
      </c>
      <c r="E22" s="485">
        <f>'STANDARD COMP.'!E22</f>
        <v>0.15</v>
      </c>
      <c r="F22" s="1266">
        <f>F20*E22</f>
        <v>152400.1238940375</v>
      </c>
      <c r="G22" s="1264"/>
      <c r="H22" s="1264"/>
      <c r="I22" s="1265"/>
      <c r="J22" s="122"/>
      <c r="K22" s="1205">
        <f t="shared" si="1"/>
        <v>0</v>
      </c>
      <c r="L22" s="1205"/>
      <c r="M22" s="524" t="str">
        <f t="shared" si="2"/>
        <v/>
      </c>
      <c r="N22" s="1269"/>
      <c r="O22" s="1269"/>
      <c r="P22" s="1189"/>
      <c r="Q22" s="1190"/>
      <c r="T22" s="1205" t="s">
        <v>29</v>
      </c>
      <c r="U22" s="1205"/>
      <c r="V22" s="641">
        <f t="shared" si="3"/>
        <v>46117</v>
      </c>
      <c r="X22" s="1277"/>
      <c r="Y22" s="1277"/>
      <c r="AD22" s="1189"/>
      <c r="AE22" s="1190"/>
    </row>
    <row r="23" spans="1:31" s="122" customFormat="1" ht="13" x14ac:dyDescent="0.3">
      <c r="B23" s="204" t="s">
        <v>224</v>
      </c>
      <c r="C23" s="213"/>
      <c r="D23" s="194" t="s">
        <v>5</v>
      </c>
      <c r="E23" s="414"/>
      <c r="F23" s="1274">
        <f>'STANDARD COMP.'!F23</f>
        <v>10000</v>
      </c>
      <c r="G23" s="1275"/>
      <c r="H23" s="1275"/>
      <c r="I23" s="1276"/>
      <c r="K23" s="1205">
        <f t="shared" si="1"/>
        <v>0</v>
      </c>
      <c r="L23" s="1205"/>
      <c r="M23" s="524" t="str">
        <f t="shared" si="2"/>
        <v/>
      </c>
      <c r="N23" s="1269"/>
      <c r="O23" s="1269"/>
      <c r="P23" s="1189"/>
      <c r="Q23" s="1190"/>
      <c r="T23" s="1205" t="s">
        <v>30</v>
      </c>
      <c r="U23" s="1205"/>
      <c r="V23" s="641">
        <f t="shared" si="3"/>
        <v>46147</v>
      </c>
      <c r="X23" s="1277"/>
      <c r="Y23" s="1277"/>
      <c r="AD23" s="1189"/>
      <c r="AE23" s="1190"/>
    </row>
    <row r="24" spans="1:31" s="122" customFormat="1" ht="13" x14ac:dyDescent="0.3">
      <c r="A24" s="8"/>
      <c r="B24" s="830" t="s">
        <v>395</v>
      </c>
      <c r="C24" s="213"/>
      <c r="D24" s="194"/>
      <c r="E24" s="667">
        <v>2.5000000000000001E-2</v>
      </c>
      <c r="F24" s="664">
        <f>E24*F20</f>
        <v>25400.020649006256</v>
      </c>
      <c r="G24" s="665"/>
      <c r="H24" s="665"/>
      <c r="I24" s="666"/>
      <c r="J24" s="8"/>
      <c r="K24" s="1205">
        <f t="shared" si="1"/>
        <v>0</v>
      </c>
      <c r="L24" s="1205"/>
      <c r="M24" s="524" t="str">
        <f t="shared" si="2"/>
        <v/>
      </c>
      <c r="N24" s="1269"/>
      <c r="O24" s="1269"/>
      <c r="P24" s="1189"/>
      <c r="Q24" s="1190"/>
      <c r="T24" s="1205" t="s">
        <v>31</v>
      </c>
      <c r="U24" s="1205"/>
      <c r="V24" s="641">
        <f t="shared" si="3"/>
        <v>46178</v>
      </c>
      <c r="X24" s="1277"/>
      <c r="Y24" s="1277"/>
      <c r="AD24" s="1189"/>
      <c r="AE24" s="1190"/>
    </row>
    <row r="25" spans="1:31" s="8" customFormat="1" ht="13" x14ac:dyDescent="0.3">
      <c r="B25" s="171" t="s">
        <v>177</v>
      </c>
      <c r="C25" s="130"/>
      <c r="D25" s="200" t="s">
        <v>5</v>
      </c>
      <c r="E25" s="411"/>
      <c r="F25" s="1266">
        <f>F22-F23-F24</f>
        <v>117000.10324503125</v>
      </c>
      <c r="G25" s="1264"/>
      <c r="H25" s="1264"/>
      <c r="I25" s="1265"/>
      <c r="J25" s="648"/>
      <c r="K25" s="1205">
        <f t="shared" si="1"/>
        <v>0</v>
      </c>
      <c r="L25" s="1205"/>
      <c r="M25" s="524" t="str">
        <f t="shared" si="2"/>
        <v/>
      </c>
      <c r="N25" s="1269"/>
      <c r="O25" s="1269"/>
      <c r="P25" s="1189"/>
      <c r="Q25" s="1190"/>
      <c r="R25" s="8" t="s">
        <v>1</v>
      </c>
      <c r="T25" s="1205" t="s">
        <v>33</v>
      </c>
      <c r="U25" s="1205"/>
      <c r="V25" s="641">
        <f t="shared" si="3"/>
        <v>46208</v>
      </c>
      <c r="X25" s="1277"/>
      <c r="Y25" s="1277"/>
      <c r="AD25" s="1189"/>
      <c r="AE25" s="1190"/>
    </row>
    <row r="26" spans="1:31" s="8" customFormat="1" ht="13" x14ac:dyDescent="0.3">
      <c r="B26" s="210"/>
      <c r="C26" s="123"/>
      <c r="D26" s="194"/>
      <c r="E26" s="194"/>
      <c r="F26" s="212"/>
      <c r="G26" s="212"/>
      <c r="H26" s="212"/>
      <c r="I26" s="125"/>
      <c r="K26" s="1205">
        <f t="shared" si="1"/>
        <v>0</v>
      </c>
      <c r="L26" s="1205"/>
      <c r="M26" s="524" t="str">
        <f t="shared" si="2"/>
        <v/>
      </c>
      <c r="N26" s="1269"/>
      <c r="O26" s="1269"/>
      <c r="P26" s="1189"/>
      <c r="Q26" s="1190"/>
      <c r="T26" s="1205" t="s">
        <v>34</v>
      </c>
      <c r="U26" s="1205"/>
      <c r="V26" s="641">
        <f t="shared" si="3"/>
        <v>46239</v>
      </c>
      <c r="X26" s="1277"/>
      <c r="Y26" s="1277"/>
      <c r="AD26" s="1189"/>
      <c r="AE26" s="1190"/>
    </row>
    <row r="27" spans="1:31" s="8" customFormat="1" ht="13" x14ac:dyDescent="0.3">
      <c r="A27" s="122"/>
      <c r="B27" s="1282" t="s">
        <v>217</v>
      </c>
      <c r="C27" s="1282"/>
      <c r="D27" s="200"/>
      <c r="E27" s="649" t="s">
        <v>218</v>
      </c>
      <c r="F27" s="650" t="s">
        <v>215</v>
      </c>
      <c r="G27" s="1283" t="s">
        <v>216</v>
      </c>
      <c r="H27" s="1283"/>
      <c r="I27" s="1283"/>
      <c r="J27" s="122"/>
      <c r="K27" s="1205">
        <f t="shared" si="1"/>
        <v>0</v>
      </c>
      <c r="L27" s="1205"/>
      <c r="M27" s="524" t="str">
        <f t="shared" si="2"/>
        <v/>
      </c>
      <c r="N27" s="1269"/>
      <c r="O27" s="1269"/>
      <c r="P27" s="1189"/>
      <c r="Q27" s="1190"/>
      <c r="T27" s="1205" t="s">
        <v>35</v>
      </c>
      <c r="U27" s="1205"/>
      <c r="V27" s="641">
        <f t="shared" si="3"/>
        <v>46270</v>
      </c>
      <c r="X27" s="1277"/>
      <c r="Y27" s="1277"/>
      <c r="AD27" s="1189"/>
      <c r="AE27" s="1190"/>
    </row>
    <row r="28" spans="1:31" s="122" customFormat="1" ht="13" x14ac:dyDescent="0.3">
      <c r="A28" s="8"/>
      <c r="B28" s="1280">
        <f>FORM!K39</f>
        <v>0</v>
      </c>
      <c r="C28" s="1280"/>
      <c r="D28" s="200" t="s">
        <v>5</v>
      </c>
      <c r="E28" s="651">
        <f>FORM!T39</f>
        <v>0.25</v>
      </c>
      <c r="F28" s="652">
        <f>FORM!P39</f>
        <v>0</v>
      </c>
      <c r="G28" s="1281" t="e">
        <f>F25*E28/F28</f>
        <v>#DIV/0!</v>
      </c>
      <c r="H28" s="1281"/>
      <c r="I28" s="1281"/>
      <c r="J28" s="8"/>
      <c r="K28" s="1205">
        <f t="shared" si="1"/>
        <v>0</v>
      </c>
      <c r="L28" s="1205"/>
      <c r="M28" s="524" t="str">
        <f t="shared" si="2"/>
        <v/>
      </c>
      <c r="N28" s="1269"/>
      <c r="O28" s="1269"/>
      <c r="P28" s="1189"/>
      <c r="Q28" s="1190"/>
      <c r="R28" s="8"/>
      <c r="S28" s="8"/>
      <c r="T28" s="1205" t="s">
        <v>37</v>
      </c>
      <c r="U28" s="1205"/>
      <c r="V28" s="641">
        <f t="shared" si="3"/>
        <v>46300</v>
      </c>
      <c r="X28" s="1277"/>
      <c r="Y28" s="1277"/>
      <c r="AD28" s="1189"/>
      <c r="AE28" s="1190"/>
    </row>
    <row r="29" spans="1:31" s="8" customFormat="1" ht="13" x14ac:dyDescent="0.3">
      <c r="A29" s="122"/>
      <c r="B29" s="1280">
        <f>FORM!K40</f>
        <v>0</v>
      </c>
      <c r="C29" s="1280"/>
      <c r="D29" s="200" t="s">
        <v>5</v>
      </c>
      <c r="E29" s="651">
        <f>FORM!T40</f>
        <v>0.35</v>
      </c>
      <c r="F29" s="652">
        <f>FORM!P40</f>
        <v>0</v>
      </c>
      <c r="G29" s="1281" t="e">
        <f>F25*E29/F29</f>
        <v>#DIV/0!</v>
      </c>
      <c r="H29" s="1281"/>
      <c r="I29" s="1281"/>
      <c r="J29" s="122"/>
      <c r="K29" s="1205">
        <f t="shared" si="1"/>
        <v>0</v>
      </c>
      <c r="L29" s="1205"/>
      <c r="M29" s="524" t="str">
        <f t="shared" si="2"/>
        <v/>
      </c>
      <c r="N29" s="1269"/>
      <c r="O29" s="1269"/>
      <c r="P29" s="1189"/>
      <c r="Q29" s="1190"/>
      <c r="T29" s="1205" t="s">
        <v>38</v>
      </c>
      <c r="U29" s="1205"/>
      <c r="V29" s="641">
        <f t="shared" si="3"/>
        <v>46331</v>
      </c>
      <c r="X29" s="1277"/>
      <c r="Y29" s="1277"/>
      <c r="AD29" s="1189"/>
      <c r="AE29" s="1190"/>
    </row>
    <row r="30" spans="1:31" s="122" customFormat="1" ht="13" x14ac:dyDescent="0.3">
      <c r="A30" s="8"/>
      <c r="B30" s="1280">
        <f>FORM!K41</f>
        <v>0</v>
      </c>
      <c r="C30" s="1280"/>
      <c r="D30" s="200" t="s">
        <v>5</v>
      </c>
      <c r="E30" s="651">
        <f>FORM!T41</f>
        <v>0.4</v>
      </c>
      <c r="F30" s="652">
        <f>FORM!P41</f>
        <v>0</v>
      </c>
      <c r="G30" s="1281" t="e">
        <f>F25*E30/F30</f>
        <v>#DIV/0!</v>
      </c>
      <c r="H30" s="1281"/>
      <c r="I30" s="1281"/>
      <c r="J30" s="8"/>
      <c r="K30" s="1205">
        <f t="shared" si="1"/>
        <v>0</v>
      </c>
      <c r="L30" s="1205"/>
      <c r="M30" s="524" t="str">
        <f t="shared" si="2"/>
        <v/>
      </c>
      <c r="N30" s="1269"/>
      <c r="O30" s="1269"/>
      <c r="P30" s="1189"/>
      <c r="Q30" s="1190"/>
      <c r="R30" s="8"/>
      <c r="S30" s="8"/>
      <c r="T30" s="1205" t="s">
        <v>39</v>
      </c>
      <c r="U30" s="1205"/>
      <c r="V30" s="641">
        <f t="shared" si="3"/>
        <v>46361</v>
      </c>
      <c r="X30" s="1277"/>
      <c r="Y30" s="1277"/>
      <c r="AD30" s="1189"/>
      <c r="AE30" s="1190"/>
    </row>
    <row r="31" spans="1:31" s="8" customFormat="1" ht="13" x14ac:dyDescent="0.3">
      <c r="A31" s="122"/>
      <c r="B31" s="269"/>
      <c r="C31" s="269"/>
      <c r="D31" s="194"/>
      <c r="E31" s="194"/>
      <c r="F31" s="653">
        <f>SUM(F28:F30)</f>
        <v>0</v>
      </c>
      <c r="G31" s="267"/>
      <c r="H31" s="267"/>
      <c r="I31" s="123"/>
      <c r="J31" s="122"/>
      <c r="K31" s="1205">
        <f t="shared" si="1"/>
        <v>0</v>
      </c>
      <c r="L31" s="1205"/>
      <c r="M31" s="524" t="str">
        <f t="shared" si="2"/>
        <v/>
      </c>
      <c r="N31" s="1269"/>
      <c r="O31" s="1269"/>
      <c r="P31" s="1189"/>
      <c r="Q31" s="1190"/>
      <c r="T31" s="1205" t="s">
        <v>41</v>
      </c>
      <c r="U31" s="1205"/>
      <c r="V31" s="641">
        <f t="shared" si="3"/>
        <v>46392</v>
      </c>
      <c r="X31" s="1277"/>
      <c r="Y31" s="1277"/>
      <c r="AD31" s="1189"/>
      <c r="AE31" s="1190"/>
    </row>
    <row r="32" spans="1:31" s="122" customFormat="1" ht="13" x14ac:dyDescent="0.3">
      <c r="B32" s="171" t="s">
        <v>44</v>
      </c>
      <c r="C32" s="130"/>
      <c r="D32" s="200" t="s">
        <v>5</v>
      </c>
      <c r="E32" s="485">
        <f>100%-E22</f>
        <v>0.85</v>
      </c>
      <c r="F32" s="1266">
        <f>F20*E32</f>
        <v>863600.70206621254</v>
      </c>
      <c r="G32" s="1264"/>
      <c r="H32" s="1264"/>
      <c r="I32" s="1265"/>
      <c r="K32" s="1205">
        <f t="shared" si="1"/>
        <v>0</v>
      </c>
      <c r="L32" s="1205"/>
      <c r="M32" s="524" t="str">
        <f t="shared" si="2"/>
        <v/>
      </c>
      <c r="N32" s="1269"/>
      <c r="O32" s="1269"/>
      <c r="P32" s="1189"/>
      <c r="Q32" s="1190"/>
      <c r="T32" s="1205" t="s">
        <v>42</v>
      </c>
      <c r="U32" s="1205"/>
      <c r="V32" s="641">
        <f t="shared" si="3"/>
        <v>46423</v>
      </c>
      <c r="X32" s="1277"/>
      <c r="Y32" s="1277"/>
      <c r="AD32" s="1189"/>
      <c r="AE32" s="1190"/>
    </row>
    <row r="33" spans="1:31" s="122" customFormat="1" ht="13" x14ac:dyDescent="0.3">
      <c r="A33" s="8"/>
      <c r="B33" s="210"/>
      <c r="C33" s="123"/>
      <c r="D33" s="194"/>
      <c r="E33" s="123"/>
      <c r="F33" s="123"/>
      <c r="G33" s="123"/>
      <c r="H33" s="123"/>
      <c r="I33" s="123"/>
      <c r="J33" s="8"/>
      <c r="K33" s="1205">
        <f t="shared" ref="K33" si="4">IF(N33&gt;1,T33,0)</f>
        <v>0</v>
      </c>
      <c r="L33" s="1205"/>
      <c r="M33" s="524" t="str">
        <f t="shared" si="2"/>
        <v/>
      </c>
      <c r="N33" s="1269"/>
      <c r="O33" s="1269"/>
      <c r="P33" s="1189"/>
      <c r="Q33" s="1190"/>
      <c r="T33" s="1205" t="s">
        <v>43</v>
      </c>
      <c r="U33" s="1205"/>
      <c r="V33" s="641">
        <f t="shared" si="3"/>
        <v>46451</v>
      </c>
      <c r="X33" s="1277"/>
      <c r="Y33" s="1277"/>
      <c r="AD33" s="1189"/>
      <c r="AE33" s="1190"/>
    </row>
    <row r="34" spans="1:31" s="8" customFormat="1" ht="13" x14ac:dyDescent="0.3">
      <c r="A34" s="122"/>
      <c r="B34" s="130" t="s">
        <v>48</v>
      </c>
      <c r="C34" s="130"/>
      <c r="D34" s="269"/>
      <c r="E34" s="269"/>
      <c r="F34" s="269"/>
      <c r="G34" s="269"/>
      <c r="H34" s="269"/>
      <c r="I34" s="269"/>
      <c r="J34" s="122"/>
      <c r="K34" s="1205">
        <f t="shared" si="1"/>
        <v>0</v>
      </c>
      <c r="L34" s="1205"/>
      <c r="M34" s="524" t="str">
        <f t="shared" si="2"/>
        <v/>
      </c>
      <c r="N34" s="1269"/>
      <c r="O34" s="1269"/>
      <c r="P34" s="1189"/>
      <c r="Q34" s="1190"/>
      <c r="T34" s="1205" t="s">
        <v>45</v>
      </c>
      <c r="U34" s="1205"/>
      <c r="V34" s="641">
        <f t="shared" si="3"/>
        <v>46482</v>
      </c>
      <c r="X34" s="1277"/>
      <c r="Y34" s="1277"/>
      <c r="AD34" s="1189"/>
      <c r="AE34" s="1190"/>
    </row>
    <row r="35" spans="1:31" s="122" customFormat="1" ht="13" x14ac:dyDescent="0.3">
      <c r="B35" s="762"/>
      <c r="C35" s="762"/>
      <c r="D35" s="762"/>
      <c r="E35" s="762"/>
      <c r="F35" s="762"/>
      <c r="G35" s="762"/>
      <c r="H35" s="762"/>
      <c r="I35" s="762"/>
      <c r="K35" s="1205">
        <f t="shared" si="1"/>
        <v>0</v>
      </c>
      <c r="L35" s="1205"/>
      <c r="M35" s="524" t="str">
        <f t="shared" si="2"/>
        <v/>
      </c>
      <c r="N35" s="1269"/>
      <c r="O35" s="1269"/>
      <c r="P35" s="1189"/>
      <c r="Q35" s="1190"/>
      <c r="T35" s="1205" t="s">
        <v>46</v>
      </c>
      <c r="U35" s="1205"/>
      <c r="V35" s="641">
        <f t="shared" si="3"/>
        <v>46512</v>
      </c>
      <c r="X35" s="1277"/>
      <c r="Y35" s="1277"/>
      <c r="AD35" s="1189"/>
      <c r="AE35" s="1190"/>
    </row>
    <row r="36" spans="1:31" s="122" customFormat="1" ht="13" x14ac:dyDescent="0.3">
      <c r="B36" s="373" t="s">
        <v>51</v>
      </c>
      <c r="C36" s="373" t="s">
        <v>52</v>
      </c>
      <c r="D36" s="1221" t="s">
        <v>53</v>
      </c>
      <c r="E36" s="1221"/>
      <c r="F36" s="373" t="s">
        <v>54</v>
      </c>
      <c r="G36" s="1221" t="s">
        <v>79</v>
      </c>
      <c r="H36" s="1221"/>
      <c r="I36" s="1221"/>
      <c r="K36" s="1205">
        <f t="shared" si="1"/>
        <v>0</v>
      </c>
      <c r="L36" s="1205"/>
      <c r="M36" s="524" t="str">
        <f t="shared" si="2"/>
        <v/>
      </c>
      <c r="N36" s="1269"/>
      <c r="O36" s="1269"/>
      <c r="P36" s="1189"/>
      <c r="Q36" s="1190"/>
      <c r="T36" s="1205" t="s">
        <v>47</v>
      </c>
      <c r="U36" s="1205"/>
      <c r="V36" s="641">
        <f t="shared" si="3"/>
        <v>46543</v>
      </c>
      <c r="X36" s="1277"/>
      <c r="Y36" s="1277"/>
      <c r="AD36" s="1189"/>
      <c r="AE36" s="1190"/>
    </row>
    <row r="37" spans="1:31" s="122" customFormat="1" ht="13" x14ac:dyDescent="0.3">
      <c r="B37" s="759">
        <v>5</v>
      </c>
      <c r="C37" s="760">
        <f>'STANDARD COMP.'!C33</f>
        <v>7.0000000000000007E-2</v>
      </c>
      <c r="D37" s="1284">
        <f>PMT(C37/12,B37*12,-1)</f>
        <v>1.9801198540349535E-2</v>
      </c>
      <c r="E37" s="1284"/>
      <c r="F37" s="761">
        <f>D37*F32</f>
        <v>17100.32896119832</v>
      </c>
      <c r="G37" s="1285">
        <f>F37/0.33</f>
        <v>51819.178670297937</v>
      </c>
      <c r="H37" s="1286"/>
      <c r="I37" s="1287"/>
      <c r="K37" s="1205">
        <f t="shared" si="1"/>
        <v>0</v>
      </c>
      <c r="L37" s="1205"/>
      <c r="M37" s="524" t="str">
        <f t="shared" si="2"/>
        <v/>
      </c>
      <c r="N37" s="1269"/>
      <c r="O37" s="1269"/>
      <c r="P37" s="1189"/>
      <c r="Q37" s="1190"/>
      <c r="T37" s="1205" t="s">
        <v>49</v>
      </c>
      <c r="U37" s="1205"/>
      <c r="V37" s="641">
        <f t="shared" si="3"/>
        <v>46573</v>
      </c>
      <c r="X37" s="1277"/>
      <c r="Y37" s="1277"/>
      <c r="AD37" s="1189"/>
      <c r="AE37" s="1190"/>
    </row>
    <row r="38" spans="1:31" s="122" customFormat="1" ht="13" x14ac:dyDescent="0.3">
      <c r="B38" s="654">
        <v>10</v>
      </c>
      <c r="C38" s="760">
        <f>'STANDARD COMP.'!C34</f>
        <v>7.0000000000000007E-2</v>
      </c>
      <c r="D38" s="1288">
        <f>PMT(C38/12,B38*12,-1)</f>
        <v>1.1610847921862406E-2</v>
      </c>
      <c r="E38" s="1288"/>
      <c r="F38" s="655">
        <f>D38*F32</f>
        <v>10027.136416904399</v>
      </c>
      <c r="G38" s="1289">
        <f>F38/0.33</f>
        <v>30385.26186940727</v>
      </c>
      <c r="H38" s="1290"/>
      <c r="I38" s="1291"/>
      <c r="K38" s="1205">
        <f t="shared" si="1"/>
        <v>0</v>
      </c>
      <c r="L38" s="1205"/>
      <c r="M38" s="524" t="str">
        <f t="shared" si="2"/>
        <v/>
      </c>
      <c r="N38" s="1269"/>
      <c r="O38" s="1269"/>
      <c r="P38" s="1189"/>
      <c r="Q38" s="1190"/>
      <c r="T38" s="1205" t="s">
        <v>50</v>
      </c>
      <c r="U38" s="1205"/>
      <c r="V38" s="641">
        <f t="shared" si="3"/>
        <v>46604</v>
      </c>
      <c r="X38" s="1277"/>
      <c r="Y38" s="1277"/>
      <c r="AD38" s="1189"/>
      <c r="AE38" s="1190"/>
    </row>
    <row r="39" spans="1:31" s="122" customFormat="1" ht="13" x14ac:dyDescent="0.3">
      <c r="B39" s="654">
        <v>15</v>
      </c>
      <c r="C39" s="760">
        <f>'STANDARD COMP.'!C35</f>
        <v>7.0000000000000007E-2</v>
      </c>
      <c r="D39" s="1288">
        <f>PMT(C39/12,B39*12,-1)</f>
        <v>8.988282708524269E-3</v>
      </c>
      <c r="E39" s="1288"/>
      <c r="F39" s="655">
        <f>D39*F32</f>
        <v>7762.2872574511575</v>
      </c>
      <c r="G39" s="1289">
        <f>F39/0.33</f>
        <v>23522.082598336841</v>
      </c>
      <c r="H39" s="1290"/>
      <c r="I39" s="1291"/>
      <c r="K39" s="1205">
        <f t="shared" si="1"/>
        <v>0</v>
      </c>
      <c r="L39" s="1205"/>
      <c r="M39" s="524" t="str">
        <f t="shared" si="2"/>
        <v/>
      </c>
      <c r="N39" s="1269"/>
      <c r="O39" s="1269"/>
      <c r="P39" s="1189"/>
      <c r="Q39" s="1190"/>
      <c r="T39" s="1205" t="s">
        <v>56</v>
      </c>
      <c r="U39" s="1205"/>
      <c r="V39" s="641">
        <f t="shared" si="3"/>
        <v>46635</v>
      </c>
      <c r="X39" s="1277"/>
      <c r="Y39" s="1277"/>
      <c r="AD39" s="1189"/>
      <c r="AE39" s="1190"/>
    </row>
    <row r="40" spans="1:31" s="122" customFormat="1" ht="13" x14ac:dyDescent="0.3">
      <c r="B40" s="654">
        <v>20</v>
      </c>
      <c r="C40" s="760">
        <f>'STANDARD COMP.'!C36</f>
        <v>7.0000000000000007E-2</v>
      </c>
      <c r="D40" s="1292">
        <f>PMT(C40/12,B40*12,-1)</f>
        <v>7.7529893561887461E-3</v>
      </c>
      <c r="E40" s="1292"/>
      <c r="F40" s="655">
        <f>D40*F32</f>
        <v>6695.4870511164745</v>
      </c>
      <c r="G40" s="1289">
        <f>F40/0.33</f>
        <v>20289.354700352953</v>
      </c>
      <c r="H40" s="1290"/>
      <c r="I40" s="1291"/>
      <c r="K40" s="1205">
        <f t="shared" si="1"/>
        <v>0</v>
      </c>
      <c r="L40" s="1205"/>
      <c r="M40" s="524" t="str">
        <f t="shared" si="2"/>
        <v/>
      </c>
      <c r="N40" s="1269"/>
      <c r="O40" s="1269"/>
      <c r="P40" s="1189"/>
      <c r="Q40" s="1190"/>
      <c r="T40" s="1205" t="s">
        <v>57</v>
      </c>
      <c r="U40" s="1205"/>
      <c r="V40" s="641">
        <f t="shared" si="3"/>
        <v>46665</v>
      </c>
      <c r="X40" s="1277"/>
      <c r="Y40" s="1277"/>
      <c r="AD40" s="1189"/>
      <c r="AE40" s="1190"/>
    </row>
    <row r="41" spans="1:31" s="122" customFormat="1" ht="13" x14ac:dyDescent="0.3">
      <c r="B41" s="899" t="str">
        <f>'STANDARD COMP.'!B37</f>
        <v>Fixed for three (3) years</v>
      </c>
      <c r="G41" s="656"/>
      <c r="K41" s="1205">
        <f t="shared" si="1"/>
        <v>0</v>
      </c>
      <c r="L41" s="1205"/>
      <c r="M41" s="524" t="str">
        <f t="shared" si="2"/>
        <v/>
      </c>
      <c r="N41" s="1269"/>
      <c r="O41" s="1269"/>
      <c r="P41" s="1189"/>
      <c r="Q41" s="1190"/>
      <c r="T41" s="1205" t="s">
        <v>58</v>
      </c>
      <c r="U41" s="1205"/>
      <c r="V41" s="641">
        <f t="shared" si="3"/>
        <v>46696</v>
      </c>
      <c r="X41" s="1277"/>
      <c r="Y41" s="1277"/>
      <c r="AD41" s="1189"/>
      <c r="AE41" s="1190"/>
    </row>
    <row r="42" spans="1:31" s="122" customFormat="1" ht="13" x14ac:dyDescent="0.3">
      <c r="B42" s="899" t="str">
        <f>'STANDARD COMP.'!B38</f>
        <v>Sample Computation for Interest rate is at 7% fixed for three (3) years only</v>
      </c>
      <c r="C42" s="657"/>
      <c r="D42" s="176"/>
      <c r="K42" s="1205">
        <f t="shared" si="1"/>
        <v>0</v>
      </c>
      <c r="L42" s="1205"/>
      <c r="M42" s="524" t="str">
        <f t="shared" si="2"/>
        <v/>
      </c>
      <c r="N42" s="1269"/>
      <c r="O42" s="1269"/>
      <c r="P42" s="1189"/>
      <c r="Q42" s="1190"/>
      <c r="T42" s="1205" t="s">
        <v>59</v>
      </c>
      <c r="U42" s="1205"/>
      <c r="V42" s="641">
        <f t="shared" si="3"/>
        <v>46726</v>
      </c>
      <c r="X42" s="1277"/>
      <c r="Y42" s="1277"/>
      <c r="AD42" s="1189"/>
      <c r="AE42" s="1190"/>
    </row>
    <row r="43" spans="1:31" s="122" customFormat="1" ht="13" x14ac:dyDescent="0.3">
      <c r="B43" s="658" t="s">
        <v>63</v>
      </c>
      <c r="D43" s="176"/>
      <c r="K43" s="1205">
        <f t="shared" ref="K43:K66" si="5">IF(N43&gt;1,T43,0)</f>
        <v>0</v>
      </c>
      <c r="L43" s="1205"/>
      <c r="M43" s="524" t="str">
        <f t="shared" si="2"/>
        <v/>
      </c>
      <c r="N43" s="1269"/>
      <c r="O43" s="1269"/>
      <c r="P43" s="1189"/>
      <c r="Q43" s="1190"/>
      <c r="T43" s="1205" t="s">
        <v>60</v>
      </c>
      <c r="U43" s="1205"/>
      <c r="V43" s="641">
        <f t="shared" si="3"/>
        <v>46757</v>
      </c>
      <c r="X43" s="1277"/>
      <c r="Y43" s="1277"/>
      <c r="AD43" s="1189"/>
      <c r="AE43" s="1190"/>
    </row>
    <row r="44" spans="1:31" s="122" customFormat="1" ht="13" x14ac:dyDescent="0.3">
      <c r="B44" s="658" t="s">
        <v>65</v>
      </c>
      <c r="C44" s="657"/>
      <c r="D44" s="176"/>
      <c r="K44" s="1205">
        <f t="shared" si="5"/>
        <v>0</v>
      </c>
      <c r="L44" s="1205"/>
      <c r="M44" s="524" t="str">
        <f t="shared" si="2"/>
        <v/>
      </c>
      <c r="N44" s="1269"/>
      <c r="O44" s="1269"/>
      <c r="P44" s="1189"/>
      <c r="Q44" s="1190"/>
      <c r="T44" s="1205" t="s">
        <v>61</v>
      </c>
      <c r="U44" s="1205"/>
      <c r="V44" s="641">
        <f t="shared" si="3"/>
        <v>46788</v>
      </c>
      <c r="X44" s="1277"/>
      <c r="Y44" s="1277"/>
      <c r="AD44" s="1189"/>
      <c r="AE44" s="1190"/>
    </row>
    <row r="45" spans="1:31" s="122" customFormat="1" ht="13" x14ac:dyDescent="0.3">
      <c r="D45" s="176"/>
      <c r="K45" s="1205">
        <f t="shared" si="5"/>
        <v>0</v>
      </c>
      <c r="L45" s="1205"/>
      <c r="M45" s="524" t="str">
        <f t="shared" si="2"/>
        <v/>
      </c>
      <c r="N45" s="1269"/>
      <c r="O45" s="1269"/>
      <c r="P45" s="1189"/>
      <c r="Q45" s="1190"/>
      <c r="T45" s="1205" t="s">
        <v>62</v>
      </c>
      <c r="U45" s="1205"/>
      <c r="V45" s="641">
        <f t="shared" si="3"/>
        <v>46817</v>
      </c>
      <c r="X45" s="1277"/>
      <c r="Y45" s="1277"/>
      <c r="AD45" s="1189"/>
      <c r="AE45" s="1190"/>
    </row>
    <row r="46" spans="1:31" s="122" customFormat="1" ht="13" x14ac:dyDescent="0.3">
      <c r="B46" s="130" t="s">
        <v>202</v>
      </c>
      <c r="C46" s="242"/>
      <c r="D46" s="8"/>
      <c r="E46" s="8"/>
      <c r="F46" s="8"/>
      <c r="G46" s="8"/>
      <c r="H46" s="8"/>
      <c r="I46" s="8"/>
      <c r="K46" s="1205">
        <f t="shared" si="5"/>
        <v>0</v>
      </c>
      <c r="L46" s="1205"/>
      <c r="M46" s="524" t="str">
        <f t="shared" si="2"/>
        <v/>
      </c>
      <c r="N46" s="1269"/>
      <c r="O46" s="1269"/>
      <c r="P46" s="1189"/>
      <c r="Q46" s="1190"/>
      <c r="T46" s="1205" t="s">
        <v>64</v>
      </c>
      <c r="U46" s="1205"/>
      <c r="V46" s="641">
        <f t="shared" si="3"/>
        <v>46848</v>
      </c>
      <c r="X46" s="1277"/>
      <c r="Y46" s="1277"/>
      <c r="AD46" s="1189"/>
      <c r="AE46" s="1190"/>
    </row>
    <row r="47" spans="1:31" s="122" customFormat="1" ht="13" x14ac:dyDescent="0.25">
      <c r="B47" s="8"/>
      <c r="C47" s="8"/>
      <c r="D47" s="8"/>
      <c r="E47" s="8"/>
      <c r="F47" s="8"/>
      <c r="G47" s="8"/>
      <c r="H47" s="8"/>
      <c r="I47" s="8"/>
      <c r="K47" s="1205">
        <f t="shared" si="5"/>
        <v>0</v>
      </c>
      <c r="L47" s="1205"/>
      <c r="M47" s="524" t="str">
        <f t="shared" si="2"/>
        <v/>
      </c>
      <c r="N47" s="1269"/>
      <c r="O47" s="1269"/>
      <c r="P47" s="1189"/>
      <c r="Q47" s="1190"/>
      <c r="T47" s="1205" t="s">
        <v>66</v>
      </c>
      <c r="U47" s="1205"/>
      <c r="V47" s="641">
        <f t="shared" si="3"/>
        <v>46878</v>
      </c>
      <c r="X47" s="1293"/>
      <c r="Y47" s="1293"/>
    </row>
    <row r="48" spans="1:31" s="122" customFormat="1" ht="12.5" x14ac:dyDescent="0.25">
      <c r="B48" s="1221" t="s">
        <v>110</v>
      </c>
      <c r="C48" s="1221"/>
      <c r="D48" s="1221" t="s">
        <v>200</v>
      </c>
      <c r="E48" s="1221"/>
      <c r="F48" s="1221"/>
      <c r="G48" s="1221" t="s">
        <v>207</v>
      </c>
      <c r="H48" s="1221"/>
      <c r="I48" s="1221"/>
      <c r="K48" s="1205">
        <f t="shared" si="5"/>
        <v>0</v>
      </c>
      <c r="L48" s="1205"/>
      <c r="M48" s="524" t="str">
        <f t="shared" si="2"/>
        <v/>
      </c>
      <c r="N48" s="1269"/>
      <c r="O48" s="1269"/>
      <c r="P48" s="1189"/>
      <c r="Q48" s="1190"/>
      <c r="T48" s="1205" t="s">
        <v>67</v>
      </c>
      <c r="U48" s="1205"/>
      <c r="V48" s="641">
        <f t="shared" si="3"/>
        <v>46909</v>
      </c>
      <c r="X48" s="105"/>
      <c r="Y48" s="105"/>
    </row>
    <row r="49" spans="2:25" s="122" customFormat="1" ht="12.5" x14ac:dyDescent="0.25">
      <c r="B49" s="1294">
        <f>FORM!O19</f>
        <v>0</v>
      </c>
      <c r="C49" s="1295"/>
      <c r="D49" s="1294">
        <f>FORM!S19</f>
        <v>0</v>
      </c>
      <c r="E49" s="1298"/>
      <c r="F49" s="1295"/>
      <c r="G49" s="1300">
        <f>FORM!V19</f>
        <v>0</v>
      </c>
      <c r="H49" s="1301"/>
      <c r="I49" s="1302"/>
      <c r="K49" s="1205">
        <f t="shared" si="5"/>
        <v>0</v>
      </c>
      <c r="L49" s="1205"/>
      <c r="M49" s="524" t="str">
        <f t="shared" si="2"/>
        <v/>
      </c>
      <c r="N49" s="1269"/>
      <c r="O49" s="1269"/>
      <c r="P49" s="1189"/>
      <c r="Q49" s="1190"/>
      <c r="T49" s="1205" t="s">
        <v>69</v>
      </c>
      <c r="U49" s="1205"/>
      <c r="V49" s="641">
        <f t="shared" si="3"/>
        <v>46939</v>
      </c>
      <c r="X49" s="105"/>
      <c r="Y49" s="105"/>
    </row>
    <row r="50" spans="2:25" s="122" customFormat="1" ht="12.5" x14ac:dyDescent="0.25">
      <c r="B50" s="1296"/>
      <c r="C50" s="1297"/>
      <c r="D50" s="1296"/>
      <c r="E50" s="1299"/>
      <c r="F50" s="1297"/>
      <c r="G50" s="1303"/>
      <c r="H50" s="1304"/>
      <c r="I50" s="1305"/>
      <c r="K50" s="1205">
        <f t="shared" si="5"/>
        <v>0</v>
      </c>
      <c r="L50" s="1205"/>
      <c r="M50" s="524" t="str">
        <f t="shared" si="2"/>
        <v/>
      </c>
      <c r="N50" s="1269"/>
      <c r="O50" s="1269"/>
      <c r="P50" s="1189"/>
      <c r="Q50" s="1190"/>
      <c r="T50" s="1205" t="s">
        <v>107</v>
      </c>
      <c r="U50" s="1205"/>
      <c r="V50" s="641">
        <f t="shared" si="3"/>
        <v>46970</v>
      </c>
      <c r="X50" s="105"/>
      <c r="Y50" s="105"/>
    </row>
    <row r="51" spans="2:25" s="122" customFormat="1" ht="12.5" x14ac:dyDescent="0.25">
      <c r="B51" s="1294">
        <f>FORM!O21</f>
        <v>0</v>
      </c>
      <c r="C51" s="1295"/>
      <c r="D51" s="1294">
        <f>FORM!S21</f>
        <v>0</v>
      </c>
      <c r="E51" s="1298"/>
      <c r="F51" s="1295"/>
      <c r="G51" s="1300">
        <f>FORM!V21</f>
        <v>0</v>
      </c>
      <c r="H51" s="1301"/>
      <c r="I51" s="1302"/>
      <c r="K51" s="1205">
        <f t="shared" si="5"/>
        <v>0</v>
      </c>
      <c r="L51" s="1205"/>
      <c r="M51" s="524" t="str">
        <f t="shared" si="2"/>
        <v/>
      </c>
      <c r="N51" s="1269"/>
      <c r="O51" s="1269"/>
      <c r="P51" s="1189"/>
      <c r="Q51" s="1190"/>
      <c r="T51" s="1205" t="s">
        <v>111</v>
      </c>
      <c r="U51" s="1205"/>
      <c r="V51" s="641">
        <f t="shared" si="3"/>
        <v>47001</v>
      </c>
      <c r="X51" s="105"/>
      <c r="Y51" s="105"/>
    </row>
    <row r="52" spans="2:25" s="122" customFormat="1" ht="12.5" x14ac:dyDescent="0.25">
      <c r="B52" s="1296"/>
      <c r="C52" s="1297"/>
      <c r="D52" s="1296"/>
      <c r="E52" s="1299"/>
      <c r="F52" s="1297"/>
      <c r="G52" s="1303"/>
      <c r="H52" s="1304"/>
      <c r="I52" s="1305"/>
      <c r="K52" s="1205">
        <f t="shared" si="5"/>
        <v>0</v>
      </c>
      <c r="L52" s="1205"/>
      <c r="M52" s="524" t="str">
        <f t="shared" si="2"/>
        <v/>
      </c>
      <c r="N52" s="1269"/>
      <c r="O52" s="1269"/>
      <c r="P52" s="1189"/>
      <c r="Q52" s="1190"/>
      <c r="T52" s="1205" t="s">
        <v>112</v>
      </c>
      <c r="U52" s="1205"/>
      <c r="V52" s="641">
        <f t="shared" si="3"/>
        <v>47031</v>
      </c>
      <c r="X52" s="105"/>
      <c r="Y52" s="105"/>
    </row>
    <row r="53" spans="2:25" s="122" customFormat="1" ht="12.5" x14ac:dyDescent="0.25">
      <c r="B53" s="1294">
        <f>FORM!O25</f>
        <v>0</v>
      </c>
      <c r="C53" s="1295"/>
      <c r="D53" s="1294">
        <f>FORM!S25</f>
        <v>0</v>
      </c>
      <c r="E53" s="1298"/>
      <c r="F53" s="1295"/>
      <c r="G53" s="1300">
        <f>FORM!V25</f>
        <v>0</v>
      </c>
      <c r="H53" s="1301"/>
      <c r="I53" s="1302"/>
      <c r="K53" s="1205">
        <f t="shared" si="5"/>
        <v>0</v>
      </c>
      <c r="L53" s="1205"/>
      <c r="M53" s="524" t="str">
        <f t="shared" si="2"/>
        <v/>
      </c>
      <c r="N53" s="1269"/>
      <c r="O53" s="1269"/>
      <c r="P53" s="1189"/>
      <c r="Q53" s="1190"/>
      <c r="T53" s="1205" t="s">
        <v>113</v>
      </c>
      <c r="U53" s="1205"/>
      <c r="V53" s="641">
        <f t="shared" si="3"/>
        <v>47062</v>
      </c>
      <c r="X53" s="105"/>
      <c r="Y53" s="105"/>
    </row>
    <row r="54" spans="2:25" s="122" customFormat="1" ht="12.5" x14ac:dyDescent="0.25">
      <c r="B54" s="1296"/>
      <c r="C54" s="1297"/>
      <c r="D54" s="1296"/>
      <c r="E54" s="1299"/>
      <c r="F54" s="1297"/>
      <c r="G54" s="1303"/>
      <c r="H54" s="1304"/>
      <c r="I54" s="1305"/>
      <c r="K54" s="1205">
        <f t="shared" si="5"/>
        <v>0</v>
      </c>
      <c r="L54" s="1205"/>
      <c r="M54" s="524" t="str">
        <f t="shared" si="2"/>
        <v/>
      </c>
      <c r="N54" s="1269"/>
      <c r="O54" s="1269"/>
      <c r="P54" s="1189"/>
      <c r="Q54" s="1190"/>
      <c r="T54" s="1205" t="s">
        <v>114</v>
      </c>
      <c r="U54" s="1205"/>
      <c r="V54" s="641">
        <f t="shared" si="3"/>
        <v>47092</v>
      </c>
      <c r="X54" s="105"/>
      <c r="Y54" s="105"/>
    </row>
    <row r="55" spans="2:25" s="122" customFormat="1" ht="12.5" x14ac:dyDescent="0.25">
      <c r="B55" s="919">
        <f>FORM!O27</f>
        <v>0</v>
      </c>
      <c r="C55" s="920"/>
      <c r="D55" s="919">
        <f>FORM!S27</f>
        <v>0</v>
      </c>
      <c r="E55" s="923"/>
      <c r="F55" s="920"/>
      <c r="G55" s="925">
        <f>FORM!V27</f>
        <v>0</v>
      </c>
      <c r="H55" s="926"/>
      <c r="I55" s="927"/>
      <c r="J55" s="122" t="s">
        <v>1</v>
      </c>
      <c r="K55" s="1205">
        <f t="shared" si="5"/>
        <v>0</v>
      </c>
      <c r="L55" s="1205"/>
      <c r="M55" s="524" t="str">
        <f t="shared" si="2"/>
        <v/>
      </c>
      <c r="N55" s="1269"/>
      <c r="O55" s="1269"/>
      <c r="P55" s="1189"/>
      <c r="Q55" s="1190"/>
      <c r="T55" s="1205" t="s">
        <v>115</v>
      </c>
      <c r="U55" s="1205"/>
      <c r="V55" s="641">
        <f t="shared" si="3"/>
        <v>47123</v>
      </c>
      <c r="X55" s="105"/>
      <c r="Y55" s="105"/>
    </row>
    <row r="56" spans="2:25" s="122" customFormat="1" ht="12.5" x14ac:dyDescent="0.25">
      <c r="B56" s="921"/>
      <c r="C56" s="922"/>
      <c r="D56" s="921"/>
      <c r="E56" s="924"/>
      <c r="F56" s="922"/>
      <c r="G56" s="928"/>
      <c r="H56" s="929"/>
      <c r="I56" s="930"/>
      <c r="K56" s="1205">
        <f t="shared" si="5"/>
        <v>0</v>
      </c>
      <c r="L56" s="1205"/>
      <c r="M56" s="524" t="str">
        <f t="shared" si="2"/>
        <v/>
      </c>
      <c r="N56" s="1269"/>
      <c r="O56" s="1269"/>
      <c r="P56" s="915"/>
      <c r="Q56" s="916"/>
      <c r="T56" s="1205" t="s">
        <v>179</v>
      </c>
      <c r="U56" s="1205"/>
      <c r="V56" s="641">
        <f t="shared" si="3"/>
        <v>47154</v>
      </c>
      <c r="X56" s="105"/>
      <c r="Y56" s="105"/>
    </row>
    <row r="57" spans="2:25" s="122" customFormat="1" ht="12.5" x14ac:dyDescent="0.25">
      <c r="B57" s="1294">
        <f>FORM!O31</f>
        <v>0</v>
      </c>
      <c r="C57" s="1295"/>
      <c r="D57" s="1294">
        <f>FORM!S31</f>
        <v>0</v>
      </c>
      <c r="E57" s="1298"/>
      <c r="F57" s="1295"/>
      <c r="G57" s="1300">
        <f>FORM!V31</f>
        <v>0</v>
      </c>
      <c r="H57" s="1301"/>
      <c r="I57" s="1302"/>
      <c r="K57" s="1205">
        <f t="shared" si="5"/>
        <v>0</v>
      </c>
      <c r="L57" s="1205"/>
      <c r="M57" s="524" t="str">
        <f t="shared" si="2"/>
        <v/>
      </c>
      <c r="N57" s="1269"/>
      <c r="O57" s="1269"/>
      <c r="P57" s="915"/>
      <c r="Q57" s="916"/>
      <c r="T57" s="1205" t="s">
        <v>180</v>
      </c>
      <c r="U57" s="1205"/>
      <c r="V57" s="641">
        <f t="shared" si="3"/>
        <v>47182</v>
      </c>
      <c r="X57" s="105"/>
      <c r="Y57" s="105"/>
    </row>
    <row r="58" spans="2:25" s="122" customFormat="1" ht="12.5" x14ac:dyDescent="0.25">
      <c r="B58" s="1296"/>
      <c r="C58" s="1297"/>
      <c r="D58" s="1296"/>
      <c r="E58" s="1299"/>
      <c r="F58" s="1297"/>
      <c r="G58" s="1303"/>
      <c r="H58" s="1304"/>
      <c r="I58" s="1305"/>
      <c r="K58" s="1205">
        <f t="shared" si="5"/>
        <v>0</v>
      </c>
      <c r="L58" s="1205"/>
      <c r="M58" s="524" t="str">
        <f t="shared" si="2"/>
        <v/>
      </c>
      <c r="N58" s="1269"/>
      <c r="O58" s="1269"/>
      <c r="P58" s="915"/>
      <c r="Q58" s="916"/>
      <c r="T58" s="1205" t="s">
        <v>181</v>
      </c>
      <c r="U58" s="1205"/>
      <c r="V58" s="641">
        <f t="shared" si="3"/>
        <v>47213</v>
      </c>
      <c r="X58" s="105"/>
      <c r="Y58" s="105"/>
    </row>
    <row r="59" spans="2:25" s="122" customFormat="1" ht="12.5" x14ac:dyDescent="0.25">
      <c r="B59" s="1294">
        <f>FORM!O33</f>
        <v>0</v>
      </c>
      <c r="C59" s="1295"/>
      <c r="D59" s="1294">
        <f>FORM!S33</f>
        <v>0</v>
      </c>
      <c r="E59" s="1298"/>
      <c r="F59" s="1295"/>
      <c r="G59" s="1300">
        <f>FORM!V33</f>
        <v>0</v>
      </c>
      <c r="H59" s="1301"/>
      <c r="I59" s="1302"/>
      <c r="K59" s="1205">
        <f t="shared" si="5"/>
        <v>0</v>
      </c>
      <c r="L59" s="1205"/>
      <c r="M59" s="524" t="str">
        <f t="shared" si="2"/>
        <v/>
      </c>
      <c r="N59" s="1269"/>
      <c r="O59" s="1269"/>
      <c r="P59" s="915"/>
      <c r="Q59" s="916"/>
      <c r="T59" s="1205" t="s">
        <v>182</v>
      </c>
      <c r="U59" s="1205"/>
      <c r="V59" s="641">
        <f t="shared" si="3"/>
        <v>47243</v>
      </c>
      <c r="X59" s="105"/>
      <c r="Y59" s="105"/>
    </row>
    <row r="60" spans="2:25" s="122" customFormat="1" ht="12.5" x14ac:dyDescent="0.25">
      <c r="B60" s="1296"/>
      <c r="C60" s="1297"/>
      <c r="D60" s="1296"/>
      <c r="E60" s="1299"/>
      <c r="F60" s="1297"/>
      <c r="G60" s="1303"/>
      <c r="H60" s="1304"/>
      <c r="I60" s="1305"/>
      <c r="K60" s="1205">
        <f t="shared" si="5"/>
        <v>0</v>
      </c>
      <c r="L60" s="1205"/>
      <c r="M60" s="524" t="str">
        <f t="shared" si="2"/>
        <v/>
      </c>
      <c r="N60" s="1269"/>
      <c r="O60" s="1269"/>
      <c r="P60" s="915"/>
      <c r="Q60" s="916"/>
      <c r="T60" s="1205" t="s">
        <v>183</v>
      </c>
      <c r="U60" s="1205"/>
      <c r="V60" s="641">
        <f t="shared" si="3"/>
        <v>47274</v>
      </c>
      <c r="X60" s="105"/>
      <c r="Y60" s="105"/>
    </row>
    <row r="61" spans="2:25" s="122" customFormat="1" ht="12.5" x14ac:dyDescent="0.25">
      <c r="D61" s="176"/>
      <c r="K61" s="1205">
        <f t="shared" si="5"/>
        <v>0</v>
      </c>
      <c r="L61" s="1205"/>
      <c r="M61" s="524" t="str">
        <f t="shared" si="2"/>
        <v/>
      </c>
      <c r="N61" s="1269"/>
      <c r="O61" s="1269"/>
      <c r="P61" s="915"/>
      <c r="Q61" s="916"/>
      <c r="T61" s="1205" t="s">
        <v>184</v>
      </c>
      <c r="U61" s="1205"/>
      <c r="V61" s="641">
        <f t="shared" si="3"/>
        <v>47304</v>
      </c>
      <c r="X61" s="105"/>
      <c r="Y61" s="105"/>
    </row>
    <row r="62" spans="2:25" s="122" customFormat="1" ht="12.5" x14ac:dyDescent="0.25">
      <c r="B62" s="429"/>
      <c r="C62" s="240" t="s">
        <v>221</v>
      </c>
      <c r="D62" s="1306"/>
      <c r="E62" s="1306"/>
      <c r="F62" s="1306"/>
      <c r="K62" s="1205">
        <f t="shared" si="5"/>
        <v>0</v>
      </c>
      <c r="L62" s="1205"/>
      <c r="M62" s="524" t="str">
        <f t="shared" si="2"/>
        <v/>
      </c>
      <c r="N62" s="1269"/>
      <c r="O62" s="1269"/>
      <c r="P62" s="915"/>
      <c r="Q62" s="916"/>
      <c r="T62" s="1205" t="s">
        <v>428</v>
      </c>
      <c r="U62" s="1205"/>
      <c r="V62" s="641">
        <f t="shared" si="3"/>
        <v>47335</v>
      </c>
      <c r="X62" s="105"/>
      <c r="Y62" s="105"/>
    </row>
    <row r="63" spans="2:25" s="122" customFormat="1" ht="12.5" x14ac:dyDescent="0.25">
      <c r="B63" s="661"/>
      <c r="C63" s="123"/>
      <c r="D63" s="123"/>
      <c r="E63" s="123"/>
      <c r="F63" s="125"/>
      <c r="K63" s="1205">
        <f t="shared" si="5"/>
        <v>0</v>
      </c>
      <c r="L63" s="1205"/>
      <c r="M63" s="524" t="str">
        <f t="shared" si="2"/>
        <v/>
      </c>
      <c r="N63" s="1269"/>
      <c r="O63" s="1269"/>
      <c r="P63" s="915"/>
      <c r="Q63" s="916"/>
      <c r="T63" s="1205" t="s">
        <v>429</v>
      </c>
      <c r="U63" s="1205"/>
      <c r="V63" s="641">
        <f t="shared" si="3"/>
        <v>47366</v>
      </c>
      <c r="X63" s="105"/>
      <c r="Y63" s="105"/>
    </row>
    <row r="64" spans="2:25" s="122" customFormat="1" ht="12.5" x14ac:dyDescent="0.25">
      <c r="B64" s="8" t="s">
        <v>70</v>
      </c>
      <c r="C64" s="8"/>
      <c r="D64" s="8"/>
      <c r="E64" s="8"/>
      <c r="F64" s="8" t="s">
        <v>71</v>
      </c>
      <c r="G64" s="8"/>
      <c r="H64" s="8"/>
      <c r="K64" s="1205">
        <f t="shared" si="5"/>
        <v>0</v>
      </c>
      <c r="L64" s="1205"/>
      <c r="M64" s="524" t="str">
        <f t="shared" si="2"/>
        <v/>
      </c>
      <c r="N64" s="1269"/>
      <c r="O64" s="1269"/>
      <c r="P64" s="915"/>
      <c r="Q64" s="916"/>
      <c r="T64" s="1205" t="s">
        <v>430</v>
      </c>
      <c r="U64" s="1205"/>
      <c r="V64" s="641">
        <f t="shared" si="3"/>
        <v>47396</v>
      </c>
      <c r="X64" s="105"/>
      <c r="Y64" s="105"/>
    </row>
    <row r="65" spans="2:25" s="122" customFormat="1" ht="12.5" x14ac:dyDescent="0.25">
      <c r="D65" s="176"/>
      <c r="K65" s="1205">
        <f t="shared" si="5"/>
        <v>0</v>
      </c>
      <c r="L65" s="1205"/>
      <c r="M65" s="524" t="str">
        <f t="shared" si="2"/>
        <v/>
      </c>
      <c r="N65" s="1269"/>
      <c r="O65" s="1269"/>
      <c r="P65" s="915"/>
      <c r="Q65" s="916"/>
      <c r="T65" s="1205" t="s">
        <v>431</v>
      </c>
      <c r="U65" s="1205"/>
      <c r="V65" s="641">
        <f t="shared" si="3"/>
        <v>47427</v>
      </c>
      <c r="X65" s="105"/>
      <c r="Y65" s="105"/>
    </row>
    <row r="66" spans="2:25" s="122" customFormat="1" ht="12.5" x14ac:dyDescent="0.25">
      <c r="B66" s="1307" t="str">
        <f>'STANDARD COMP.'!B67:D67</f>
        <v>selller</v>
      </c>
      <c r="C66" s="1307"/>
      <c r="D66" s="662"/>
      <c r="F66" s="1307" t="str">
        <f>'STANDARD COMP.'!F67:I67</f>
        <v>buyer</v>
      </c>
      <c r="G66" s="1307"/>
      <c r="K66" s="1205">
        <f t="shared" si="5"/>
        <v>0</v>
      </c>
      <c r="L66" s="1205"/>
      <c r="M66" s="524" t="str">
        <f t="shared" si="2"/>
        <v/>
      </c>
      <c r="N66" s="1269"/>
      <c r="O66" s="1269"/>
      <c r="P66" s="915"/>
      <c r="Q66" s="916"/>
      <c r="T66" s="1205" t="s">
        <v>432</v>
      </c>
      <c r="U66" s="1205"/>
      <c r="V66" s="641">
        <f t="shared" si="3"/>
        <v>47457</v>
      </c>
      <c r="X66" s="105"/>
      <c r="Y66" s="105"/>
    </row>
    <row r="67" spans="2:25" s="122" customFormat="1" ht="12.5" x14ac:dyDescent="0.25">
      <c r="B67" s="663" t="s">
        <v>74</v>
      </c>
      <c r="C67" s="663"/>
      <c r="D67" s="176"/>
      <c r="F67" s="663" t="s">
        <v>74</v>
      </c>
      <c r="G67" s="663"/>
      <c r="K67" s="1359" t="s">
        <v>341</v>
      </c>
      <c r="L67" s="1205"/>
      <c r="M67" s="524">
        <f>M68</f>
        <v>45935</v>
      </c>
      <c r="N67" s="1360">
        <f>F24</f>
        <v>25400.020649006256</v>
      </c>
      <c r="O67" s="1360"/>
      <c r="P67" s="1189"/>
      <c r="Q67" s="1190"/>
      <c r="T67" s="1205"/>
      <c r="U67" s="1205"/>
      <c r="V67" s="641"/>
      <c r="X67" s="105"/>
      <c r="Y67" s="105"/>
    </row>
    <row r="68" spans="2:25" s="122" customFormat="1" ht="12.5" x14ac:dyDescent="0.25">
      <c r="K68" s="1205" t="s">
        <v>72</v>
      </c>
      <c r="L68" s="1205"/>
      <c r="M68" s="524">
        <f>IF(DAY(M15)=31,X18,Z18)</f>
        <v>45935</v>
      </c>
      <c r="N68" s="1308">
        <f>F32</f>
        <v>863600.70206621254</v>
      </c>
      <c r="O68" s="1308"/>
      <c r="P68" s="1189"/>
      <c r="Q68" s="1190"/>
      <c r="T68" s="1205"/>
      <c r="U68" s="1205"/>
      <c r="V68" s="641"/>
      <c r="X68" s="105"/>
      <c r="Y68" s="105"/>
    </row>
    <row r="69" spans="2:25" s="122" customFormat="1" ht="12.5" x14ac:dyDescent="0.25">
      <c r="K69" s="659"/>
      <c r="M69" s="248"/>
      <c r="V69" s="660"/>
      <c r="X69" s="105"/>
      <c r="Y69" s="105"/>
    </row>
    <row r="70" spans="2:25" s="122" customFormat="1" ht="12.5" x14ac:dyDescent="0.25">
      <c r="K70" s="659"/>
      <c r="M70" s="248"/>
      <c r="V70" s="632"/>
      <c r="X70" s="105"/>
      <c r="Y70" s="105"/>
    </row>
    <row r="71" spans="2:25" s="122" customFormat="1" ht="12.5" x14ac:dyDescent="0.25">
      <c r="M71" s="248"/>
      <c r="V71" s="632"/>
      <c r="X71" s="105"/>
      <c r="Y71" s="105"/>
    </row>
    <row r="72" spans="2:25" s="122" customFormat="1" ht="12.5" x14ac:dyDescent="0.25">
      <c r="K72" s="8" t="s">
        <v>70</v>
      </c>
      <c r="L72" s="8"/>
      <c r="M72" s="8"/>
      <c r="N72" s="8"/>
      <c r="P72" s="8" t="s">
        <v>71</v>
      </c>
      <c r="Q72" s="8"/>
      <c r="V72" s="632"/>
      <c r="X72" s="105"/>
      <c r="Y72" s="105"/>
    </row>
    <row r="73" spans="2:25" s="122" customFormat="1" ht="12.5" x14ac:dyDescent="0.25">
      <c r="M73" s="176"/>
      <c r="V73" s="632"/>
      <c r="X73" s="105"/>
      <c r="Y73" s="105"/>
    </row>
    <row r="74" spans="2:25" s="122" customFormat="1" ht="12.5" x14ac:dyDescent="0.25">
      <c r="M74" s="176"/>
      <c r="V74" s="632"/>
      <c r="X74" s="105"/>
      <c r="Y74" s="105"/>
    </row>
    <row r="75" spans="2:25" s="122" customFormat="1" ht="12.5" x14ac:dyDescent="0.25">
      <c r="K75" s="1307" t="str">
        <f>B66</f>
        <v>selller</v>
      </c>
      <c r="L75" s="1307"/>
      <c r="M75" s="1307"/>
      <c r="P75" s="1307" t="str">
        <f>F66</f>
        <v>buyer</v>
      </c>
      <c r="Q75" s="1307"/>
      <c r="V75" s="632"/>
      <c r="X75" s="105"/>
      <c r="Y75" s="105"/>
    </row>
    <row r="76" spans="2:25" s="122" customFormat="1" ht="12.5" x14ac:dyDescent="0.25">
      <c r="K76" s="663" t="s">
        <v>74</v>
      </c>
      <c r="L76" s="663"/>
      <c r="M76" s="256"/>
      <c r="P76" s="663" t="s">
        <v>74</v>
      </c>
      <c r="Q76" s="663"/>
      <c r="V76" s="632"/>
      <c r="X76" s="105"/>
      <c r="Y76" s="105"/>
    </row>
    <row r="77" spans="2:25" s="122" customFormat="1" ht="12.5" x14ac:dyDescent="0.25">
      <c r="V77" s="632"/>
      <c r="X77" s="105"/>
      <c r="Y77" s="105"/>
    </row>
    <row r="78" spans="2:25" s="122" customFormat="1" ht="12.5" x14ac:dyDescent="0.25">
      <c r="V78" s="632"/>
      <c r="X78" s="105"/>
      <c r="Y78" s="105"/>
    </row>
    <row r="79" spans="2:25" s="122" customFormat="1" ht="12.5" x14ac:dyDescent="0.25">
      <c r="D79" s="176"/>
      <c r="M79" s="248"/>
      <c r="V79" s="632"/>
      <c r="X79" s="105"/>
      <c r="Y79" s="105"/>
    </row>
    <row r="80" spans="2:25" x14ac:dyDescent="0.25">
      <c r="B80" s="122"/>
      <c r="C80" s="122"/>
      <c r="D80" s="176"/>
      <c r="E80" s="122"/>
      <c r="F80" s="122"/>
      <c r="G80" s="122"/>
      <c r="H80" s="122"/>
      <c r="I80" s="122"/>
    </row>
    <row r="123" spans="1:1" x14ac:dyDescent="0.25">
      <c r="A123" s="525">
        <f>F15*12%</f>
        <v>99934.507471500008</v>
      </c>
    </row>
  </sheetData>
  <sheetProtection password="CC2E" sheet="1" formatCells="0" formatColumns="0" formatRows="0"/>
  <mergeCells count="338">
    <mergeCell ref="K56:L56"/>
    <mergeCell ref="K57:L57"/>
    <mergeCell ref="K58:L58"/>
    <mergeCell ref="K59:L59"/>
    <mergeCell ref="K60:L60"/>
    <mergeCell ref="K61:L61"/>
    <mergeCell ref="K62:L62"/>
    <mergeCell ref="K63:L63"/>
    <mergeCell ref="K64:L64"/>
    <mergeCell ref="T65:U65"/>
    <mergeCell ref="T66:U66"/>
    <mergeCell ref="N56:O56"/>
    <mergeCell ref="N57:O57"/>
    <mergeCell ref="N58:O58"/>
    <mergeCell ref="N59:O59"/>
    <mergeCell ref="N60:O60"/>
    <mergeCell ref="N61:O61"/>
    <mergeCell ref="N62:O62"/>
    <mergeCell ref="N63:O63"/>
    <mergeCell ref="N64:O64"/>
    <mergeCell ref="N65:O65"/>
    <mergeCell ref="N66:O66"/>
    <mergeCell ref="T56:U56"/>
    <mergeCell ref="T57:U57"/>
    <mergeCell ref="T58:U58"/>
    <mergeCell ref="T59:U59"/>
    <mergeCell ref="T60:U60"/>
    <mergeCell ref="T61:U61"/>
    <mergeCell ref="T62:U62"/>
    <mergeCell ref="T63:U63"/>
    <mergeCell ref="T64:U64"/>
    <mergeCell ref="G1:I1"/>
    <mergeCell ref="B3:I4"/>
    <mergeCell ref="K3:Q4"/>
    <mergeCell ref="E6:I6"/>
    <mergeCell ref="N6:Q6"/>
    <mergeCell ref="E7:I7"/>
    <mergeCell ref="N7:Q7"/>
    <mergeCell ref="E11:F11"/>
    <mergeCell ref="G11:I11"/>
    <mergeCell ref="N11:O11"/>
    <mergeCell ref="P11:Q11"/>
    <mergeCell ref="F13:I13"/>
    <mergeCell ref="K13:L14"/>
    <mergeCell ref="M13:M14"/>
    <mergeCell ref="N13:O14"/>
    <mergeCell ref="P13:Q14"/>
    <mergeCell ref="F14:I14"/>
    <mergeCell ref="E8:I8"/>
    <mergeCell ref="N8:Q8"/>
    <mergeCell ref="E9:I9"/>
    <mergeCell ref="N9:Q9"/>
    <mergeCell ref="E10:I10"/>
    <mergeCell ref="N10:Q10"/>
    <mergeCell ref="F15:I15"/>
    <mergeCell ref="K15:L15"/>
    <mergeCell ref="N15:O15"/>
    <mergeCell ref="P15:Q15"/>
    <mergeCell ref="T15:U15"/>
    <mergeCell ref="K16:L16"/>
    <mergeCell ref="N16:O16"/>
    <mergeCell ref="P16:Q16"/>
    <mergeCell ref="T16:U16"/>
    <mergeCell ref="K19:L19"/>
    <mergeCell ref="N19:O19"/>
    <mergeCell ref="P19:Q19"/>
    <mergeCell ref="T19:U19"/>
    <mergeCell ref="X19:Y19"/>
    <mergeCell ref="AD19:AE19"/>
    <mergeCell ref="AD17:AE17"/>
    <mergeCell ref="F18:I18"/>
    <mergeCell ref="K18:L18"/>
    <mergeCell ref="N18:O18"/>
    <mergeCell ref="P18:Q18"/>
    <mergeCell ref="T18:U18"/>
    <mergeCell ref="X18:Y18"/>
    <mergeCell ref="AD18:AE18"/>
    <mergeCell ref="F17:I17"/>
    <mergeCell ref="K17:L17"/>
    <mergeCell ref="N17:O17"/>
    <mergeCell ref="P17:Q17"/>
    <mergeCell ref="T17:U17"/>
    <mergeCell ref="X17:Y17"/>
    <mergeCell ref="AD20:AE20"/>
    <mergeCell ref="K21:L21"/>
    <mergeCell ref="N21:O21"/>
    <mergeCell ref="P21:Q21"/>
    <mergeCell ref="T21:U21"/>
    <mergeCell ref="X21:Y21"/>
    <mergeCell ref="AD21:AE21"/>
    <mergeCell ref="F20:I20"/>
    <mergeCell ref="K20:L20"/>
    <mergeCell ref="N20:O20"/>
    <mergeCell ref="P20:Q20"/>
    <mergeCell ref="T20:U20"/>
    <mergeCell ref="X20:Y20"/>
    <mergeCell ref="F23:I23"/>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K26:L26"/>
    <mergeCell ref="N26:O26"/>
    <mergeCell ref="P26:Q26"/>
    <mergeCell ref="T26:U26"/>
    <mergeCell ref="X26:Y26"/>
    <mergeCell ref="AD26:AE26"/>
    <mergeCell ref="AD24:AE24"/>
    <mergeCell ref="F25:I25"/>
    <mergeCell ref="K25:L25"/>
    <mergeCell ref="N25:O25"/>
    <mergeCell ref="P25:Q25"/>
    <mergeCell ref="T25:U25"/>
    <mergeCell ref="X25:Y25"/>
    <mergeCell ref="AD25:AE25"/>
    <mergeCell ref="X27:Y27"/>
    <mergeCell ref="AD27:AE27"/>
    <mergeCell ref="B28:C28"/>
    <mergeCell ref="G28:I28"/>
    <mergeCell ref="K28:L28"/>
    <mergeCell ref="N28:O28"/>
    <mergeCell ref="P28:Q28"/>
    <mergeCell ref="T28:U28"/>
    <mergeCell ref="X28:Y28"/>
    <mergeCell ref="AD28:AE28"/>
    <mergeCell ref="B27:C27"/>
    <mergeCell ref="G27:I27"/>
    <mergeCell ref="K27:L27"/>
    <mergeCell ref="N27:O27"/>
    <mergeCell ref="P27:Q27"/>
    <mergeCell ref="T27:U27"/>
    <mergeCell ref="K31:L31"/>
    <mergeCell ref="N31:O31"/>
    <mergeCell ref="P31:Q31"/>
    <mergeCell ref="T31:U31"/>
    <mergeCell ref="X31:Y31"/>
    <mergeCell ref="AD31:AE31"/>
    <mergeCell ref="X29:Y29"/>
    <mergeCell ref="AD29:AE29"/>
    <mergeCell ref="B30:C30"/>
    <mergeCell ref="G30:I30"/>
    <mergeCell ref="K30:L30"/>
    <mergeCell ref="N30:O30"/>
    <mergeCell ref="P30:Q30"/>
    <mergeCell ref="T30:U30"/>
    <mergeCell ref="X30:Y30"/>
    <mergeCell ref="AD30:AE30"/>
    <mergeCell ref="B29:C29"/>
    <mergeCell ref="G29:I29"/>
    <mergeCell ref="K29:L29"/>
    <mergeCell ref="N29:O29"/>
    <mergeCell ref="P29:Q29"/>
    <mergeCell ref="T29:U29"/>
    <mergeCell ref="AD32:AE32"/>
    <mergeCell ref="K33:L33"/>
    <mergeCell ref="N33:O33"/>
    <mergeCell ref="P33:Q33"/>
    <mergeCell ref="T33:U33"/>
    <mergeCell ref="X33:Y33"/>
    <mergeCell ref="AD33:AE33"/>
    <mergeCell ref="F32:I32"/>
    <mergeCell ref="K32:L32"/>
    <mergeCell ref="N32:O32"/>
    <mergeCell ref="P32:Q32"/>
    <mergeCell ref="T32:U32"/>
    <mergeCell ref="X32:Y32"/>
    <mergeCell ref="X37:Y37"/>
    <mergeCell ref="AD37:AE37"/>
    <mergeCell ref="K37:L37"/>
    <mergeCell ref="N37:O37"/>
    <mergeCell ref="P37:Q37"/>
    <mergeCell ref="T37:U37"/>
    <mergeCell ref="K34:L34"/>
    <mergeCell ref="N34:O34"/>
    <mergeCell ref="P34:Q34"/>
    <mergeCell ref="T34:U34"/>
    <mergeCell ref="X34:Y34"/>
    <mergeCell ref="AD34:AE34"/>
    <mergeCell ref="K38:L38"/>
    <mergeCell ref="N38:O38"/>
    <mergeCell ref="P38:Q38"/>
    <mergeCell ref="T38:U38"/>
    <mergeCell ref="X38:Y38"/>
    <mergeCell ref="AD38:AE38"/>
    <mergeCell ref="D38:E38"/>
    <mergeCell ref="G38:I38"/>
    <mergeCell ref="X35:Y35"/>
    <mergeCell ref="AD35:AE35"/>
    <mergeCell ref="D37:E37"/>
    <mergeCell ref="G37:I37"/>
    <mergeCell ref="K36:L36"/>
    <mergeCell ref="N36:O36"/>
    <mergeCell ref="P36:Q36"/>
    <mergeCell ref="T36:U36"/>
    <mergeCell ref="X36:Y36"/>
    <mergeCell ref="AD36:AE36"/>
    <mergeCell ref="D36:E36"/>
    <mergeCell ref="G36:I36"/>
    <mergeCell ref="K35:L35"/>
    <mergeCell ref="N35:O35"/>
    <mergeCell ref="P35:Q35"/>
    <mergeCell ref="T35:U35"/>
    <mergeCell ref="K40:L40"/>
    <mergeCell ref="N40:O40"/>
    <mergeCell ref="P40:Q40"/>
    <mergeCell ref="T40:U40"/>
    <mergeCell ref="X40:Y40"/>
    <mergeCell ref="AD40:AE40"/>
    <mergeCell ref="D40:E40"/>
    <mergeCell ref="G40:I40"/>
    <mergeCell ref="K39:L39"/>
    <mergeCell ref="N39:O39"/>
    <mergeCell ref="P39:Q39"/>
    <mergeCell ref="T39:U39"/>
    <mergeCell ref="X39:Y39"/>
    <mergeCell ref="AD39:AE39"/>
    <mergeCell ref="D39:E39"/>
    <mergeCell ref="G39:I39"/>
    <mergeCell ref="K42:L42"/>
    <mergeCell ref="N42:O42"/>
    <mergeCell ref="P42:Q42"/>
    <mergeCell ref="T42:U42"/>
    <mergeCell ref="X42:Y42"/>
    <mergeCell ref="AD42:AE42"/>
    <mergeCell ref="K41:L41"/>
    <mergeCell ref="N41:O41"/>
    <mergeCell ref="P41:Q41"/>
    <mergeCell ref="T41:U41"/>
    <mergeCell ref="X41:Y41"/>
    <mergeCell ref="AD41:AE41"/>
    <mergeCell ref="K44:L44"/>
    <mergeCell ref="N44:O44"/>
    <mergeCell ref="P44:Q44"/>
    <mergeCell ref="T44:U44"/>
    <mergeCell ref="X44:Y44"/>
    <mergeCell ref="AD44:AE44"/>
    <mergeCell ref="K43:L43"/>
    <mergeCell ref="N43:O43"/>
    <mergeCell ref="P43:Q43"/>
    <mergeCell ref="T43:U43"/>
    <mergeCell ref="X43:Y43"/>
    <mergeCell ref="AD43:AE43"/>
    <mergeCell ref="K46:L46"/>
    <mergeCell ref="N46:O46"/>
    <mergeCell ref="P46:Q46"/>
    <mergeCell ref="T46:U46"/>
    <mergeCell ref="X46:Y46"/>
    <mergeCell ref="AD46:AE46"/>
    <mergeCell ref="K45:L45"/>
    <mergeCell ref="N45:O45"/>
    <mergeCell ref="P45:Q45"/>
    <mergeCell ref="T45:U45"/>
    <mergeCell ref="X45:Y45"/>
    <mergeCell ref="AD45:AE45"/>
    <mergeCell ref="T47:U47"/>
    <mergeCell ref="X47:Y47"/>
    <mergeCell ref="B49:C50"/>
    <mergeCell ref="D49:F50"/>
    <mergeCell ref="G49:I50"/>
    <mergeCell ref="K48:L48"/>
    <mergeCell ref="N48:O48"/>
    <mergeCell ref="P48:Q48"/>
    <mergeCell ref="T48:U48"/>
    <mergeCell ref="K49:L49"/>
    <mergeCell ref="B48:C48"/>
    <mergeCell ref="D48:F48"/>
    <mergeCell ref="G48:I48"/>
    <mergeCell ref="K47:L47"/>
    <mergeCell ref="N47:O47"/>
    <mergeCell ref="P47:Q47"/>
    <mergeCell ref="N49:O49"/>
    <mergeCell ref="P49:Q49"/>
    <mergeCell ref="T49:U49"/>
    <mergeCell ref="B51:C52"/>
    <mergeCell ref="D51:F52"/>
    <mergeCell ref="G51:I52"/>
    <mergeCell ref="K50:L50"/>
    <mergeCell ref="N50:O50"/>
    <mergeCell ref="P50:Q50"/>
    <mergeCell ref="T50:U50"/>
    <mergeCell ref="K54:L54"/>
    <mergeCell ref="N54:O54"/>
    <mergeCell ref="K51:L51"/>
    <mergeCell ref="N51:O51"/>
    <mergeCell ref="P51:Q51"/>
    <mergeCell ref="T51:U51"/>
    <mergeCell ref="B53:C54"/>
    <mergeCell ref="D53:F54"/>
    <mergeCell ref="G53:I54"/>
    <mergeCell ref="K52:L52"/>
    <mergeCell ref="N52:O52"/>
    <mergeCell ref="P52:Q52"/>
    <mergeCell ref="P54:Q54"/>
    <mergeCell ref="T54:U54"/>
    <mergeCell ref="K55:L55"/>
    <mergeCell ref="N55:O55"/>
    <mergeCell ref="P55:Q55"/>
    <mergeCell ref="T55:U55"/>
    <mergeCell ref="T52:U52"/>
    <mergeCell ref="K53:L53"/>
    <mergeCell ref="N53:O53"/>
    <mergeCell ref="P53:Q53"/>
    <mergeCell ref="T53:U53"/>
    <mergeCell ref="K75:M75"/>
    <mergeCell ref="P75:Q75"/>
    <mergeCell ref="B66:C66"/>
    <mergeCell ref="F66:G66"/>
    <mergeCell ref="T67:U67"/>
    <mergeCell ref="K68:L68"/>
    <mergeCell ref="N68:O68"/>
    <mergeCell ref="P68:Q68"/>
    <mergeCell ref="T68:U68"/>
    <mergeCell ref="K66:L66"/>
    <mergeCell ref="B59:C60"/>
    <mergeCell ref="D59:F60"/>
    <mergeCell ref="G59:I60"/>
    <mergeCell ref="B57:C58"/>
    <mergeCell ref="D57:F58"/>
    <mergeCell ref="G57:I58"/>
    <mergeCell ref="K67:L67"/>
    <mergeCell ref="N67:O67"/>
    <mergeCell ref="P67:Q67"/>
    <mergeCell ref="D62:F62"/>
    <mergeCell ref="K65:L65"/>
  </mergeCells>
  <pageMargins left="0.59055118110236227" right="0.59055118110236227" top="0.82499999999999996" bottom="0.74803149606299213" header="0.31496062992125984" footer="0.31496062992125984"/>
  <pageSetup paperSize="14" scale="68" orientation="portrait" r:id="rId1"/>
  <headerFooter>
    <oddHeader xml:space="preserve">&amp;R&amp;"Century Gothic,Bold"&amp;18ANNEX A: 
SAMPLE PACKAGE COMPUTATION
</oddHeader>
  </headerFooter>
  <rowBreaks count="1" manualBreakCount="1">
    <brk id="78" max="29" man="1"/>
  </rowBreaks>
  <colBreaks count="2" manualBreakCount="2">
    <brk id="9" max="1048575" man="1"/>
    <brk id="17" max="66" man="1"/>
  </col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theme="5"/>
  </sheetPr>
  <dimension ref="A1:BA867"/>
  <sheetViews>
    <sheetView showGridLines="0" showZeros="0" view="pageLayout" topLeftCell="A4" zoomScale="85" zoomScaleNormal="100" zoomScaleSheetLayoutView="70" zoomScalePageLayoutView="85" workbookViewId="0">
      <selection activeCell="F17" sqref="F17:I17"/>
    </sheetView>
  </sheetViews>
  <sheetFormatPr defaultColWidth="8.81640625" defaultRowHeight="15.75" customHeight="1" x14ac:dyDescent="0.25"/>
  <cols>
    <col min="1" max="1" width="1" style="122" customWidth="1"/>
    <col min="2" max="2" width="12.54296875" style="122" customWidth="1"/>
    <col min="3" max="3" width="19.81640625" style="122" customWidth="1"/>
    <col min="4" max="4" width="17.81640625" style="122" customWidth="1"/>
    <col min="5" max="5" width="23.453125" style="122" customWidth="1"/>
    <col min="6" max="6" width="15.1796875" style="122" customWidth="1"/>
    <col min="7" max="7" width="8.1796875" style="122" customWidth="1"/>
    <col min="8" max="8" width="4.453125" style="122" customWidth="1"/>
    <col min="9" max="9" width="17.81640625" style="122" customWidth="1"/>
    <col min="10" max="10" width="2.1796875" style="122" customWidth="1"/>
    <col min="11" max="11" width="9.1796875" style="122" customWidth="1"/>
    <col min="12" max="12" width="20.1796875" style="176" customWidth="1"/>
    <col min="13" max="13" width="18.1796875" style="122" customWidth="1"/>
    <col min="14" max="14" width="21.81640625" style="122" customWidth="1"/>
    <col min="15" max="15" width="12.1796875" style="122" customWidth="1"/>
    <col min="16" max="16" width="16.81640625" style="122" customWidth="1"/>
    <col min="17" max="17" width="21.453125" style="122" customWidth="1"/>
    <col min="18" max="18" width="4.81640625" style="122" customWidth="1"/>
    <col min="19" max="19" width="8.81640625" style="122"/>
    <col min="20" max="20" width="19" style="382" hidden="1" customWidth="1"/>
    <col min="21" max="21" width="8.81640625" style="382" hidden="1" customWidth="1"/>
    <col min="22" max="22" width="8.81640625" style="122" hidden="1" customWidth="1"/>
    <col min="23" max="24" width="11.453125" style="122" hidden="1" customWidth="1"/>
    <col min="25" max="26" width="8.81640625" style="122" hidden="1" customWidth="1"/>
    <col min="27" max="27" width="11.1796875" style="122" hidden="1" customWidth="1"/>
    <col min="28" max="28" width="0" style="122" hidden="1" customWidth="1"/>
    <col min="29" max="29" width="13.1796875" style="122" customWidth="1"/>
    <col min="30" max="30" width="14.54296875" style="122" customWidth="1"/>
    <col min="31" max="31" width="8.81640625" style="122"/>
    <col min="32" max="32" width="9.1796875" style="122" bestFit="1" customWidth="1"/>
    <col min="33" max="33" width="17.1796875" style="122" customWidth="1"/>
    <col min="34" max="34" width="17.81640625" style="122" customWidth="1"/>
    <col min="35" max="35" width="9.81640625" style="122" customWidth="1"/>
    <col min="36" max="36" width="10.81640625" style="383" customWidth="1"/>
    <col min="37" max="37" width="13.453125" style="122" customWidth="1"/>
    <col min="38" max="38" width="12.81640625" style="122" customWidth="1"/>
    <col min="39" max="41" width="13.1796875" style="122" customWidth="1"/>
    <col min="42" max="42" width="11.1796875" style="122" customWidth="1"/>
    <col min="43" max="43" width="14.81640625" style="122" customWidth="1"/>
    <col min="44" max="44" width="5.81640625" style="122" customWidth="1"/>
    <col min="45" max="45" width="11.81640625" style="122" customWidth="1"/>
    <col min="46" max="46" width="12.81640625" style="122" customWidth="1"/>
    <col min="47" max="47" width="11.81640625" style="122" customWidth="1"/>
    <col min="48" max="48" width="12.81640625" style="122" customWidth="1"/>
    <col min="49" max="49" width="12.81640625" style="384" customWidth="1"/>
    <col min="50" max="50" width="14.54296875" style="385" customWidth="1"/>
    <col min="51" max="55" width="12.81640625" style="122" customWidth="1"/>
    <col min="56" max="16384" width="8.81640625" style="122"/>
  </cols>
  <sheetData>
    <row r="1" spans="1:27" ht="4.5" customHeight="1" x14ac:dyDescent="0.25">
      <c r="B1" s="376"/>
      <c r="C1" s="377" t="e">
        <f>(F13-(F14+#REF!))*12%</f>
        <v>#REF!</v>
      </c>
      <c r="D1" s="282" t="e">
        <f>FORM!#REF!</f>
        <v>#REF!</v>
      </c>
      <c r="E1" s="378"/>
      <c r="F1" s="8"/>
      <c r="G1" s="379"/>
      <c r="H1" s="379"/>
      <c r="J1" s="380">
        <v>0.01</v>
      </c>
      <c r="K1" s="378"/>
      <c r="L1" s="381"/>
      <c r="M1" s="381"/>
      <c r="N1" s="138"/>
    </row>
    <row r="2" spans="1:27" ht="12.5" x14ac:dyDescent="0.25">
      <c r="B2" s="239" t="s">
        <v>2</v>
      </c>
      <c r="C2" s="499">
        <f>FORM!I20</f>
        <v>45901</v>
      </c>
      <c r="D2" s="238"/>
      <c r="F2" s="178" t="s">
        <v>87</v>
      </c>
      <c r="G2" s="1206" t="s">
        <v>88</v>
      </c>
      <c r="H2" s="1206"/>
      <c r="I2" s="1206"/>
      <c r="J2" s="200"/>
      <c r="K2" s="178" t="s">
        <v>2</v>
      </c>
      <c r="L2" s="499">
        <f>C2</f>
        <v>45901</v>
      </c>
      <c r="M2" s="123"/>
      <c r="O2" s="269"/>
      <c r="P2" s="239" t="s">
        <v>89</v>
      </c>
      <c r="Q2" s="386" t="s">
        <v>90</v>
      </c>
    </row>
    <row r="3" spans="1:27" ht="12.5" x14ac:dyDescent="0.25">
      <c r="C3" s="8"/>
      <c r="D3" s="8"/>
      <c r="E3" s="200"/>
      <c r="F3" s="200"/>
      <c r="G3" s="200"/>
      <c r="H3" s="200"/>
      <c r="I3" s="200"/>
      <c r="J3" s="200"/>
      <c r="K3" s="387"/>
      <c r="L3" s="388"/>
      <c r="M3" s="389"/>
      <c r="N3" s="390"/>
      <c r="O3" s="390"/>
      <c r="P3" s="390"/>
      <c r="Q3" s="390"/>
    </row>
    <row r="4" spans="1:27" ht="18.75" customHeight="1" x14ac:dyDescent="0.25">
      <c r="A4" s="123"/>
      <c r="B4" s="1212" t="str">
        <f>'INTERNAL PRICELIST'!W26</f>
        <v>12.5% Equity spread, 2.5% Lumpsum</v>
      </c>
      <c r="C4" s="1212"/>
      <c r="D4" s="1212"/>
      <c r="E4" s="1212"/>
      <c r="F4" s="1212"/>
      <c r="G4" s="1212"/>
      <c r="H4" s="1212"/>
      <c r="I4" s="1213"/>
      <c r="J4" s="200"/>
      <c r="K4" s="1361" t="s">
        <v>3</v>
      </c>
      <c r="L4" s="1361"/>
      <c r="M4" s="1361"/>
      <c r="N4" s="1361"/>
      <c r="O4" s="1361"/>
      <c r="P4" s="1361"/>
      <c r="Q4" s="1361"/>
    </row>
    <row r="5" spans="1:27" ht="12" customHeight="1" x14ac:dyDescent="0.25">
      <c r="A5" s="123"/>
      <c r="B5" s="123"/>
      <c r="C5" s="125"/>
      <c r="D5" s="125"/>
      <c r="E5" s="123"/>
      <c r="F5" s="125"/>
      <c r="G5" s="125"/>
      <c r="H5" s="125"/>
      <c r="I5" s="270"/>
      <c r="J5" s="200"/>
      <c r="K5" s="200"/>
      <c r="L5" s="200"/>
      <c r="M5" s="271"/>
      <c r="N5" s="123"/>
      <c r="O5" s="123"/>
      <c r="P5" s="123"/>
      <c r="Q5" s="123"/>
    </row>
    <row r="6" spans="1:27" ht="12.5" x14ac:dyDescent="0.25">
      <c r="A6" s="123"/>
      <c r="B6" s="391" t="str">
        <f>'STANDARD COMP.'!B6</f>
        <v>CLIENT'S NAME</v>
      </c>
      <c r="C6" s="392"/>
      <c r="D6" s="194" t="s">
        <v>5</v>
      </c>
      <c r="E6" s="1207" t="str">
        <f>FORM!I26</f>
        <v>buyer</v>
      </c>
      <c r="F6" s="1208"/>
      <c r="G6" s="1208"/>
      <c r="H6" s="1208"/>
      <c r="I6" s="1209"/>
      <c r="J6" s="200"/>
      <c r="K6" s="1211" t="str">
        <f>B6</f>
        <v>CLIENT'S NAME</v>
      </c>
      <c r="L6" s="1211"/>
      <c r="M6" s="194" t="s">
        <v>5</v>
      </c>
      <c r="N6" s="1210" t="str">
        <f t="shared" ref="N6:N11" si="0">E6</f>
        <v>buyer</v>
      </c>
      <c r="O6" s="1210"/>
      <c r="P6" s="1210"/>
      <c r="Q6" s="1210"/>
    </row>
    <row r="7" spans="1:27" ht="13" thickBot="1" x14ac:dyDescent="0.3">
      <c r="A7" s="123"/>
      <c r="B7" s="391" t="str">
        <f>'STANDARD COMP.'!B7</f>
        <v>PROJECT NAME</v>
      </c>
      <c r="C7" s="393"/>
      <c r="D7" s="194" t="s">
        <v>5</v>
      </c>
      <c r="E7" s="1207" t="str">
        <f>FORM!$I$11</f>
        <v>The Southprime Flats</v>
      </c>
      <c r="F7" s="1208"/>
      <c r="G7" s="1208"/>
      <c r="H7" s="1208"/>
      <c r="I7" s="1209"/>
      <c r="J7" s="200"/>
      <c r="K7" s="1211" t="str">
        <f t="shared" ref="K7:K11" si="1">B7</f>
        <v>PROJECT NAME</v>
      </c>
      <c r="L7" s="1211"/>
      <c r="M7" s="394" t="s">
        <v>5</v>
      </c>
      <c r="N7" s="1210" t="str">
        <f t="shared" si="0"/>
        <v>The Southprime Flats</v>
      </c>
      <c r="O7" s="1210"/>
      <c r="P7" s="1210"/>
      <c r="Q7" s="1210"/>
    </row>
    <row r="8" spans="1:27" ht="12.5" x14ac:dyDescent="0.25">
      <c r="A8" s="260"/>
      <c r="B8" s="391" t="str">
        <f>'STANDARD COMP.'!B8</f>
        <v>PARKING SLOT NUMBER</v>
      </c>
      <c r="C8" s="392"/>
      <c r="D8" s="194" t="s">
        <v>5</v>
      </c>
      <c r="E8" s="1207" t="str">
        <f>'STANDARD COMP.'!E8:I8</f>
        <v>GF-B1-12</v>
      </c>
      <c r="F8" s="1208"/>
      <c r="G8" s="1208"/>
      <c r="H8" s="1208"/>
      <c r="I8" s="1209"/>
      <c r="J8" s="200"/>
      <c r="K8" s="1211" t="str">
        <f t="shared" si="1"/>
        <v>PARKING SLOT NUMBER</v>
      </c>
      <c r="L8" s="1211"/>
      <c r="M8" s="194" t="s">
        <v>5</v>
      </c>
      <c r="N8" s="1210" t="str">
        <f>E8</f>
        <v>GF-B1-12</v>
      </c>
      <c r="O8" s="1210"/>
      <c r="P8" s="1210"/>
      <c r="Q8" s="1210"/>
    </row>
    <row r="9" spans="1:27" ht="12.5" x14ac:dyDescent="0.25">
      <c r="A9" s="123"/>
      <c r="B9" s="391" t="str">
        <f>'STANDARD COMP.'!B9</f>
        <v>BUILDING</v>
      </c>
      <c r="C9" s="393"/>
      <c r="D9" s="194" t="s">
        <v>5</v>
      </c>
      <c r="E9" s="1207" t="str">
        <f>'STANDARD COMP.'!E9:I9</f>
        <v>Building 1</v>
      </c>
      <c r="F9" s="1208"/>
      <c r="G9" s="1208"/>
      <c r="H9" s="1208"/>
      <c r="I9" s="1209"/>
      <c r="J9" s="200"/>
      <c r="K9" s="1211" t="str">
        <f t="shared" si="1"/>
        <v>BUILDING</v>
      </c>
      <c r="L9" s="1211"/>
      <c r="M9" s="194" t="s">
        <v>5</v>
      </c>
      <c r="N9" s="1210" t="str">
        <f t="shared" si="0"/>
        <v>Building 1</v>
      </c>
      <c r="O9" s="1210"/>
      <c r="P9" s="1210"/>
      <c r="Q9" s="1210"/>
    </row>
    <row r="10" spans="1:27" ht="13" thickBot="1" x14ac:dyDescent="0.3">
      <c r="A10" s="123"/>
      <c r="B10" s="391" t="str">
        <f>'STANDARD COMP.'!B10</f>
        <v>PARKING MODEL</v>
      </c>
      <c r="C10" s="393"/>
      <c r="D10" s="194" t="s">
        <v>5</v>
      </c>
      <c r="E10" s="1207" t="str">
        <f>VLOOKUP(E8,'Pricelist Link'!A6:AC240,6,FALSE)</f>
        <v>Single Slot</v>
      </c>
      <c r="F10" s="1208"/>
      <c r="G10" s="1208"/>
      <c r="H10" s="1208"/>
      <c r="I10" s="1209"/>
      <c r="J10" s="200"/>
      <c r="K10" s="1211" t="str">
        <f t="shared" si="1"/>
        <v>PARKING MODEL</v>
      </c>
      <c r="L10" s="1211"/>
      <c r="M10" s="394" t="s">
        <v>5</v>
      </c>
      <c r="N10" s="1210" t="str">
        <f t="shared" si="0"/>
        <v>Single Slot</v>
      </c>
      <c r="O10" s="1210"/>
      <c r="P10" s="1210"/>
      <c r="Q10" s="1210"/>
    </row>
    <row r="11" spans="1:27" ht="12.5" x14ac:dyDescent="0.25">
      <c r="A11" s="123"/>
      <c r="B11" s="391" t="str">
        <f>'STANDARD COMP.'!B11</f>
        <v>TOTAL AREA</v>
      </c>
      <c r="C11" s="393"/>
      <c r="D11" s="194" t="s">
        <v>5</v>
      </c>
      <c r="E11" s="1215">
        <f>VLOOKUP(E8,'Pricelist Link'!A6:AC240,7,FALSE)</f>
        <v>13.5</v>
      </c>
      <c r="F11" s="1216"/>
      <c r="G11" s="395" t="s">
        <v>11</v>
      </c>
      <c r="H11" s="1208"/>
      <c r="I11" s="1209"/>
      <c r="J11" s="200"/>
      <c r="K11" s="1211" t="str">
        <f t="shared" si="1"/>
        <v>TOTAL AREA</v>
      </c>
      <c r="L11" s="1211"/>
      <c r="M11" s="194" t="s">
        <v>5</v>
      </c>
      <c r="N11" s="1217">
        <f t="shared" si="0"/>
        <v>13.5</v>
      </c>
      <c r="O11" s="1218"/>
      <c r="P11" s="1219" t="s">
        <v>11</v>
      </c>
      <c r="Q11" s="1220"/>
    </row>
    <row r="12" spans="1:27" ht="12.5" x14ac:dyDescent="0.25">
      <c r="A12" s="123"/>
      <c r="B12" s="123"/>
      <c r="C12" s="272"/>
      <c r="D12" s="194"/>
      <c r="E12" s="200"/>
      <c r="F12" s="397"/>
      <c r="G12" s="397"/>
      <c r="H12" s="398"/>
      <c r="I12" s="399"/>
      <c r="J12" s="200"/>
      <c r="K12" s="123"/>
      <c r="L12" s="123"/>
      <c r="M12" s="259"/>
      <c r="N12" s="123"/>
      <c r="O12" s="123"/>
      <c r="P12" s="123"/>
      <c r="Q12" s="123"/>
    </row>
    <row r="13" spans="1:27" ht="15" customHeight="1" x14ac:dyDescent="0.25">
      <c r="A13" s="123"/>
      <c r="B13" s="198" t="s">
        <v>16</v>
      </c>
      <c r="C13" s="198"/>
      <c r="D13" s="400" t="s">
        <v>5</v>
      </c>
      <c r="E13" s="401"/>
      <c r="F13" s="1250">
        <f>VLOOKUP(E8,'Pricelist Link'!A6:AC240,8,FALSE)</f>
        <v>832787.56226250005</v>
      </c>
      <c r="G13" s="1250"/>
      <c r="H13" s="1250"/>
      <c r="I13" s="1251"/>
      <c r="J13" s="200"/>
      <c r="K13" s="1221" t="s">
        <v>12</v>
      </c>
      <c r="L13" s="1221"/>
      <c r="M13" s="1222" t="s">
        <v>13</v>
      </c>
      <c r="N13" s="1221" t="s">
        <v>14</v>
      </c>
      <c r="O13" s="1221"/>
      <c r="P13" s="1224" t="s">
        <v>15</v>
      </c>
      <c r="Q13" s="1225"/>
    </row>
    <row r="14" spans="1:27" ht="12.5" x14ac:dyDescent="0.25">
      <c r="A14" s="123"/>
      <c r="B14" s="213" t="s">
        <v>167</v>
      </c>
      <c r="C14" s="393"/>
      <c r="D14" s="402" t="s">
        <v>5</v>
      </c>
      <c r="E14" s="403"/>
      <c r="F14" s="1252">
        <f>'STANDARD COMP.'!F14:I14</f>
        <v>0</v>
      </c>
      <c r="G14" s="1252"/>
      <c r="H14" s="1252"/>
      <c r="I14" s="1253"/>
      <c r="J14" s="125"/>
      <c r="K14" s="1221"/>
      <c r="L14" s="1221"/>
      <c r="M14" s="1222"/>
      <c r="N14" s="1221"/>
      <c r="O14" s="1221"/>
      <c r="P14" s="1226"/>
      <c r="Q14" s="1227"/>
    </row>
    <row r="15" spans="1:27" ht="12.5" x14ac:dyDescent="0.25">
      <c r="A15" s="123"/>
      <c r="B15" s="171" t="s">
        <v>19</v>
      </c>
      <c r="C15" s="130"/>
      <c r="D15" s="200" t="s">
        <v>5</v>
      </c>
      <c r="E15" s="401"/>
      <c r="F15" s="1254">
        <f>F13-F14</f>
        <v>832787.56226250005</v>
      </c>
      <c r="G15" s="1254"/>
      <c r="H15" s="1254"/>
      <c r="I15" s="1255"/>
      <c r="J15" s="125"/>
      <c r="K15" s="1205" t="s">
        <v>17</v>
      </c>
      <c r="L15" s="1205"/>
      <c r="M15" s="404">
        <f>C2</f>
        <v>45901</v>
      </c>
      <c r="N15" s="1223">
        <f>F23</f>
        <v>10000</v>
      </c>
      <c r="O15" s="1223"/>
      <c r="P15" s="1189"/>
      <c r="Q15" s="1190"/>
      <c r="W15" s="406">
        <f>M15</f>
        <v>45901</v>
      </c>
      <c r="X15" s="406">
        <f>EDATE(W15,E27)</f>
        <v>45931</v>
      </c>
    </row>
    <row r="16" spans="1:27" ht="13" x14ac:dyDescent="0.3">
      <c r="A16" s="123"/>
      <c r="B16" s="210"/>
      <c r="C16" s="272"/>
      <c r="D16" s="194"/>
      <c r="E16" s="125"/>
      <c r="F16" s="407"/>
      <c r="G16" s="408"/>
      <c r="H16" s="409"/>
      <c r="I16" s="409"/>
      <c r="J16" s="125"/>
      <c r="K16" s="1205">
        <f t="shared" ref="K16:K72" si="2">IF(N16&gt;1,T16,0)</f>
        <v>0</v>
      </c>
      <c r="L16" s="1205"/>
      <c r="M16" s="404" t="str">
        <f t="shared" ref="M16:M72" si="3">IF(N16&gt;1,W16,"")</f>
        <v/>
      </c>
      <c r="N16" s="1223"/>
      <c r="O16" s="1223"/>
      <c r="P16" s="1189"/>
      <c r="Q16" s="1190"/>
      <c r="T16" s="1185" t="s">
        <v>20</v>
      </c>
      <c r="U16" s="1185"/>
      <c r="W16" s="404">
        <f>IF(DAY(W15)=31,Y18,AA18)</f>
        <v>45935</v>
      </c>
      <c r="X16" s="33"/>
      <c r="Y16" s="1186" t="s">
        <v>228</v>
      </c>
      <c r="Z16" s="1186"/>
      <c r="AA16" s="33"/>
    </row>
    <row r="17" spans="1:50" ht="12.5" x14ac:dyDescent="0.25">
      <c r="A17" s="260"/>
      <c r="B17" s="213" t="s">
        <v>23</v>
      </c>
      <c r="C17" s="393"/>
      <c r="D17" s="402" t="s">
        <v>5</v>
      </c>
      <c r="E17" s="512">
        <v>0.12</v>
      </c>
      <c r="F17" s="1252">
        <f>E17*F15</f>
        <v>99934.507471500008</v>
      </c>
      <c r="G17" s="1252"/>
      <c r="H17" s="1252"/>
      <c r="I17" s="1253"/>
      <c r="J17" s="125"/>
      <c r="K17" s="1205">
        <f t="shared" si="2"/>
        <v>0</v>
      </c>
      <c r="L17" s="1205"/>
      <c r="M17" s="404" t="str">
        <f t="shared" si="3"/>
        <v/>
      </c>
      <c r="N17" s="1223"/>
      <c r="O17" s="1223"/>
      <c r="P17" s="1189"/>
      <c r="Q17" s="1190"/>
      <c r="T17" s="1185" t="s">
        <v>21</v>
      </c>
      <c r="U17" s="1185"/>
      <c r="W17" s="404">
        <f t="shared" ref="W17:W68" si="4">IF(AND(DAY(W16)&gt;=6,DAY(W16)&lt;=20),DATE(YEAR(W16),MONTH(W16)+1,DAY(20)),IF(AND(DAY(W16)&gt;=21,DAY(W16)&lt;=30),DATE(YEAR(W16),MONTH(W16)+1,IF(DAY(EOMONTH(W16,1))&lt;30,DAY(EOMONTH(W16,1)),DAY(30))),DATE(YEAR(W16),MONTH(W16)+1,DAY(5))))</f>
        <v>45966</v>
      </c>
      <c r="X17" s="69" t="s">
        <v>229</v>
      </c>
      <c r="Y17" s="1187" t="b">
        <f>IF(DAY(W15)=31,DATE(YEAR(X15),MONTH(X15)+2,DAY(5)))</f>
        <v>0</v>
      </c>
      <c r="Z17" s="1188"/>
      <c r="AA17" s="523">
        <f>IF(AND(DAY(X15)&gt;=6,DAY(X15)&lt;=20),DATE(YEAR(X15),MONTH(X15)+1,DAY(20)),IF(AND(DAY(X15)&gt;=21,DAY(X15)&lt;=31),DATE(YEAR(X15),MONTH(X15)+1,IF(DAY(EOMONTH(X15,1))&lt;30,DAY(EOMONTH(X15,1)),DAY(30))),DATE(YEAR(X15),MONTH(X15)+1,DAY(5))))</f>
        <v>45966</v>
      </c>
    </row>
    <row r="18" spans="1:50" ht="12.5" x14ac:dyDescent="0.25">
      <c r="A18" s="261"/>
      <c r="B18" s="410" t="s">
        <v>25</v>
      </c>
      <c r="C18" s="130"/>
      <c r="D18" s="194" t="s">
        <v>5</v>
      </c>
      <c r="E18" s="615">
        <v>0.1</v>
      </c>
      <c r="F18" s="1256">
        <f>E18*F13</f>
        <v>83278.756226250014</v>
      </c>
      <c r="G18" s="1257"/>
      <c r="H18" s="1257"/>
      <c r="I18" s="1258"/>
      <c r="J18" s="125"/>
      <c r="K18" s="1205">
        <f t="shared" si="2"/>
        <v>0</v>
      </c>
      <c r="L18" s="1205"/>
      <c r="M18" s="404" t="str">
        <f t="shared" si="3"/>
        <v/>
      </c>
      <c r="N18" s="1223"/>
      <c r="O18" s="1223"/>
      <c r="P18" s="1189"/>
      <c r="Q18" s="1190"/>
      <c r="T18" s="1185" t="s">
        <v>22</v>
      </c>
      <c r="U18" s="1185"/>
      <c r="W18" s="404">
        <f t="shared" si="4"/>
        <v>45996</v>
      </c>
      <c r="X18" s="69" t="s">
        <v>230</v>
      </c>
      <c r="Y18" s="1187" t="b">
        <f>IF(DAY(W15)=31,DATE(YEAR(W15),MONTH(W15)+2,DAY(5)))</f>
        <v>0</v>
      </c>
      <c r="Z18" s="1188"/>
      <c r="AA18" s="523">
        <f>IF(AND(DAY(W15)&gt;=6,DAY(W15)&lt;=20),DATE(YEAR(W15),MONTH(W15)+1,DAY(20)),IF(AND(DAY(W15)&gt;=21,DAY(W15)&lt;=30),DATE(YEAR(W15),MONTH(W15)+1,IF(DAY(EOMONTH(W15,1))&lt;31,DAY(EOMONTH(W15,1)),DAY(30))),DATE(YEAR(W15),MONTH(W15)+1,DAY(5))))</f>
        <v>45935</v>
      </c>
      <c r="AX18" s="122"/>
    </row>
    <row r="19" spans="1:50" ht="12.5" x14ac:dyDescent="0.25">
      <c r="A19" s="123"/>
      <c r="B19" s="210"/>
      <c r="C19" s="125"/>
      <c r="D19" s="194"/>
      <c r="E19" s="200"/>
      <c r="F19" s="407"/>
      <c r="G19" s="407"/>
      <c r="H19" s="407"/>
      <c r="I19" s="407"/>
      <c r="J19" s="125"/>
      <c r="K19" s="1205">
        <f t="shared" si="2"/>
        <v>0</v>
      </c>
      <c r="L19" s="1205"/>
      <c r="M19" s="404" t="str">
        <f t="shared" si="3"/>
        <v/>
      </c>
      <c r="N19" s="1223"/>
      <c r="O19" s="1223"/>
      <c r="P19" s="1189"/>
      <c r="Q19" s="1190"/>
      <c r="T19" s="1185" t="s">
        <v>24</v>
      </c>
      <c r="U19" s="1185"/>
      <c r="W19" s="404">
        <f t="shared" si="4"/>
        <v>46027</v>
      </c>
      <c r="AX19" s="122"/>
    </row>
    <row r="20" spans="1:50" ht="12.5" x14ac:dyDescent="0.25">
      <c r="A20" s="123"/>
      <c r="B20" s="171" t="s">
        <v>28</v>
      </c>
      <c r="C20" s="130"/>
      <c r="D20" s="200" t="s">
        <v>5</v>
      </c>
      <c r="E20" s="411"/>
      <c r="F20" s="1229">
        <f>F15+F17+F18</f>
        <v>1016000.82596025</v>
      </c>
      <c r="G20" s="1230"/>
      <c r="H20" s="1230"/>
      <c r="I20" s="1231"/>
      <c r="J20" s="125"/>
      <c r="K20" s="1205">
        <f t="shared" si="2"/>
        <v>0</v>
      </c>
      <c r="L20" s="1205"/>
      <c r="M20" s="404" t="str">
        <f t="shared" si="3"/>
        <v/>
      </c>
      <c r="N20" s="1223"/>
      <c r="O20" s="1223"/>
      <c r="P20" s="1189"/>
      <c r="Q20" s="1190"/>
      <c r="T20" s="1185" t="s">
        <v>26</v>
      </c>
      <c r="U20" s="1185"/>
      <c r="W20" s="404">
        <f t="shared" si="4"/>
        <v>46058</v>
      </c>
      <c r="AX20" s="122"/>
    </row>
    <row r="21" spans="1:50" ht="12.5" x14ac:dyDescent="0.25">
      <c r="A21" s="123"/>
      <c r="B21" s="210"/>
      <c r="C21" s="125"/>
      <c r="D21" s="194"/>
      <c r="E21" s="200"/>
      <c r="F21" s="407"/>
      <c r="G21" s="412"/>
      <c r="H21" s="412"/>
      <c r="I21" s="412"/>
      <c r="J21" s="125"/>
      <c r="K21" s="1205">
        <f t="shared" si="2"/>
        <v>0</v>
      </c>
      <c r="L21" s="1205"/>
      <c r="M21" s="404" t="str">
        <f t="shared" si="3"/>
        <v/>
      </c>
      <c r="N21" s="1223"/>
      <c r="O21" s="1223"/>
      <c r="P21" s="1189"/>
      <c r="Q21" s="1190"/>
      <c r="T21" s="1185" t="s">
        <v>27</v>
      </c>
      <c r="U21" s="1185"/>
      <c r="W21" s="404">
        <f t="shared" si="4"/>
        <v>46086</v>
      </c>
      <c r="AX21" s="122"/>
    </row>
    <row r="22" spans="1:50" ht="12.5" x14ac:dyDescent="0.25">
      <c r="A22" s="123"/>
      <c r="B22" s="198" t="s">
        <v>32</v>
      </c>
      <c r="C22" s="392"/>
      <c r="D22" s="400" t="s">
        <v>5</v>
      </c>
      <c r="E22" s="510">
        <f>'STANDARD COMP.'!E22</f>
        <v>0.15</v>
      </c>
      <c r="F22" s="1229">
        <f>F20*E22</f>
        <v>152400.1238940375</v>
      </c>
      <c r="G22" s="1230"/>
      <c r="H22" s="1230"/>
      <c r="I22" s="1231"/>
      <c r="J22" s="125"/>
      <c r="K22" s="1205">
        <f t="shared" si="2"/>
        <v>0</v>
      </c>
      <c r="L22" s="1205"/>
      <c r="M22" s="404" t="str">
        <f t="shared" si="3"/>
        <v/>
      </c>
      <c r="N22" s="1223"/>
      <c r="O22" s="1223"/>
      <c r="P22" s="1189"/>
      <c r="Q22" s="1190"/>
      <c r="T22" s="1185" t="s">
        <v>29</v>
      </c>
      <c r="U22" s="1185"/>
      <c r="W22" s="404">
        <f t="shared" si="4"/>
        <v>46117</v>
      </c>
      <c r="AX22" s="122"/>
    </row>
    <row r="23" spans="1:50" ht="12.5" x14ac:dyDescent="0.25">
      <c r="A23" s="123"/>
      <c r="B23" s="204" t="s">
        <v>224</v>
      </c>
      <c r="C23" s="393"/>
      <c r="D23" s="194" t="s">
        <v>5</v>
      </c>
      <c r="E23" s="414"/>
      <c r="F23" s="375">
        <f>FORM!I22</f>
        <v>10000</v>
      </c>
      <c r="G23" s="415"/>
      <c r="H23" s="416"/>
      <c r="I23" s="417"/>
      <c r="J23" s="125"/>
      <c r="K23" s="1205">
        <f t="shared" si="2"/>
        <v>0</v>
      </c>
      <c r="L23" s="1205"/>
      <c r="M23" s="404" t="str">
        <f t="shared" si="3"/>
        <v/>
      </c>
      <c r="N23" s="1223"/>
      <c r="O23" s="1223"/>
      <c r="P23" s="1189"/>
      <c r="Q23" s="1190"/>
      <c r="T23" s="1185" t="s">
        <v>30</v>
      </c>
      <c r="U23" s="1185"/>
      <c r="W23" s="404">
        <f t="shared" si="4"/>
        <v>46147</v>
      </c>
      <c r="AX23" s="122"/>
    </row>
    <row r="24" spans="1:50" ht="12.5" x14ac:dyDescent="0.25">
      <c r="A24" s="260"/>
      <c r="B24" s="830" t="s">
        <v>342</v>
      </c>
      <c r="C24" s="393"/>
      <c r="D24" s="194"/>
      <c r="E24" s="554">
        <v>2.5000000000000001E-2</v>
      </c>
      <c r="F24" s="1274">
        <f>F20*E24</f>
        <v>25400.020649006252</v>
      </c>
      <c r="G24" s="1275"/>
      <c r="H24" s="1275"/>
      <c r="I24" s="1276"/>
      <c r="J24" s="125"/>
      <c r="K24" s="1205">
        <f t="shared" si="2"/>
        <v>0</v>
      </c>
      <c r="L24" s="1205"/>
      <c r="M24" s="404" t="str">
        <f t="shared" si="3"/>
        <v/>
      </c>
      <c r="N24" s="1223"/>
      <c r="O24" s="1223"/>
      <c r="P24" s="1189"/>
      <c r="Q24" s="1190"/>
      <c r="T24" s="1185" t="s">
        <v>31</v>
      </c>
      <c r="U24" s="1185"/>
      <c r="W24" s="404">
        <f t="shared" si="4"/>
        <v>46178</v>
      </c>
      <c r="AX24" s="122"/>
    </row>
    <row r="25" spans="1:50" ht="12.5" x14ac:dyDescent="0.25">
      <c r="A25" s="123"/>
      <c r="B25" s="171" t="s">
        <v>36</v>
      </c>
      <c r="C25" s="166"/>
      <c r="D25" s="200" t="s">
        <v>5</v>
      </c>
      <c r="E25" s="414"/>
      <c r="F25" s="1229">
        <f>F22-F23-F24</f>
        <v>117000.10324503125</v>
      </c>
      <c r="G25" s="1230"/>
      <c r="H25" s="1230"/>
      <c r="I25" s="1231"/>
      <c r="J25" s="125"/>
      <c r="K25" s="1205">
        <f t="shared" si="2"/>
        <v>0</v>
      </c>
      <c r="L25" s="1205"/>
      <c r="M25" s="404" t="str">
        <f t="shared" si="3"/>
        <v/>
      </c>
      <c r="N25" s="1223"/>
      <c r="O25" s="1223"/>
      <c r="P25" s="1189"/>
      <c r="Q25" s="1190"/>
      <c r="T25" s="1185" t="s">
        <v>33</v>
      </c>
      <c r="U25" s="1185"/>
      <c r="W25" s="404">
        <f t="shared" si="4"/>
        <v>46208</v>
      </c>
      <c r="AX25" s="122"/>
    </row>
    <row r="26" spans="1:50" ht="12.5" x14ac:dyDescent="0.25">
      <c r="A26" s="123"/>
      <c r="B26" s="210"/>
      <c r="C26" s="125"/>
      <c r="D26" s="194"/>
      <c r="E26" s="200"/>
      <c r="F26" s="407"/>
      <c r="G26" s="412"/>
      <c r="H26" s="412"/>
      <c r="I26" s="412"/>
      <c r="J26" s="125"/>
      <c r="K26" s="1205">
        <f t="shared" si="2"/>
        <v>0</v>
      </c>
      <c r="L26" s="1205"/>
      <c r="M26" s="404" t="str">
        <f t="shared" si="3"/>
        <v/>
      </c>
      <c r="N26" s="1223"/>
      <c r="O26" s="1223"/>
      <c r="P26" s="1189"/>
      <c r="Q26" s="1190"/>
      <c r="T26" s="1185" t="s">
        <v>34</v>
      </c>
      <c r="U26" s="1185"/>
      <c r="W26" s="404">
        <f t="shared" si="4"/>
        <v>46239</v>
      </c>
      <c r="AX26" s="122"/>
    </row>
    <row r="27" spans="1:50" ht="12.5" x14ac:dyDescent="0.25">
      <c r="A27" s="262"/>
      <c r="B27" s="1259" t="s">
        <v>40</v>
      </c>
      <c r="C27" s="1259"/>
      <c r="D27" s="200" t="s">
        <v>5</v>
      </c>
      <c r="E27" s="418">
        <f>VLOOKUP(E8,'Pricelist Link'!A6:AC240,16,FALSE)</f>
        <v>1</v>
      </c>
      <c r="F27" s="1229">
        <f>F25/E27</f>
        <v>117000.10324503125</v>
      </c>
      <c r="G27" s="1230"/>
      <c r="H27" s="1230"/>
      <c r="I27" s="1231"/>
      <c r="J27" s="125"/>
      <c r="K27" s="1205">
        <f t="shared" si="2"/>
        <v>0</v>
      </c>
      <c r="L27" s="1205"/>
      <c r="M27" s="404" t="str">
        <f t="shared" si="3"/>
        <v/>
      </c>
      <c r="N27" s="1228"/>
      <c r="O27" s="1228"/>
      <c r="P27" s="1189"/>
      <c r="Q27" s="1190"/>
      <c r="T27" s="1185" t="s">
        <v>35</v>
      </c>
      <c r="U27" s="1185"/>
      <c r="W27" s="404">
        <f t="shared" si="4"/>
        <v>46270</v>
      </c>
      <c r="AX27" s="122"/>
    </row>
    <row r="28" spans="1:50" ht="12.5" x14ac:dyDescent="0.25">
      <c r="A28" s="123"/>
      <c r="B28" s="123"/>
      <c r="C28" s="272"/>
      <c r="D28" s="194"/>
      <c r="E28" s="419"/>
      <c r="F28" s="407"/>
      <c r="G28" s="407"/>
      <c r="H28" s="407"/>
      <c r="I28" s="407"/>
      <c r="J28" s="125"/>
      <c r="K28" s="1205">
        <f t="shared" si="2"/>
        <v>0</v>
      </c>
      <c r="L28" s="1205"/>
      <c r="M28" s="404" t="str">
        <f t="shared" si="3"/>
        <v/>
      </c>
      <c r="N28" s="1228"/>
      <c r="O28" s="1228"/>
      <c r="P28" s="1189"/>
      <c r="Q28" s="1190"/>
      <c r="T28" s="1185" t="s">
        <v>37</v>
      </c>
      <c r="U28" s="1185"/>
      <c r="W28" s="404">
        <f t="shared" si="4"/>
        <v>46300</v>
      </c>
      <c r="AX28" s="122"/>
    </row>
    <row r="29" spans="1:50" ht="12.5" x14ac:dyDescent="0.25">
      <c r="A29" s="123"/>
      <c r="B29" s="171" t="s">
        <v>44</v>
      </c>
      <c r="C29" s="171"/>
      <c r="D29" s="200" t="s">
        <v>5</v>
      </c>
      <c r="E29" s="413">
        <f>100%-E22</f>
        <v>0.85</v>
      </c>
      <c r="F29" s="1229">
        <f>F20*E29</f>
        <v>863600.70206621243</v>
      </c>
      <c r="G29" s="1230"/>
      <c r="H29" s="1230"/>
      <c r="I29" s="1231"/>
      <c r="J29" s="125"/>
      <c r="K29" s="1205">
        <f t="shared" si="2"/>
        <v>0</v>
      </c>
      <c r="L29" s="1205"/>
      <c r="M29" s="404" t="str">
        <f t="shared" si="3"/>
        <v/>
      </c>
      <c r="N29" s="1228"/>
      <c r="O29" s="1228"/>
      <c r="P29" s="1189"/>
      <c r="Q29" s="1190"/>
      <c r="T29" s="1185" t="s">
        <v>38</v>
      </c>
      <c r="U29" s="1185"/>
      <c r="W29" s="404">
        <f t="shared" si="4"/>
        <v>46331</v>
      </c>
      <c r="AX29" s="122"/>
    </row>
    <row r="30" spans="1:50" ht="12.5" x14ac:dyDescent="0.25">
      <c r="A30" s="123"/>
      <c r="B30" s="123"/>
      <c r="C30" s="272"/>
      <c r="D30" s="419"/>
      <c r="E30" s="419"/>
      <c r="F30" s="419"/>
      <c r="G30" s="420"/>
      <c r="H30" s="420"/>
      <c r="I30" s="420"/>
      <c r="J30" s="273"/>
      <c r="K30" s="1205">
        <f t="shared" si="2"/>
        <v>0</v>
      </c>
      <c r="L30" s="1205"/>
      <c r="M30" s="404" t="str">
        <f t="shared" si="3"/>
        <v/>
      </c>
      <c r="N30" s="1228"/>
      <c r="O30" s="1228"/>
      <c r="P30" s="1189"/>
      <c r="Q30" s="1190"/>
      <c r="T30" s="1185" t="s">
        <v>39</v>
      </c>
      <c r="U30" s="1185"/>
      <c r="W30" s="404">
        <f t="shared" si="4"/>
        <v>46361</v>
      </c>
      <c r="AX30" s="122"/>
    </row>
    <row r="31" spans="1:50" ht="12.5" x14ac:dyDescent="0.25">
      <c r="A31" s="123"/>
      <c r="B31" s="130" t="s">
        <v>48</v>
      </c>
      <c r="C31" s="410"/>
      <c r="D31" s="421"/>
      <c r="E31" s="422"/>
      <c r="F31" s="419"/>
      <c r="G31" s="420"/>
      <c r="H31" s="420"/>
      <c r="I31" s="420"/>
      <c r="J31" s="200"/>
      <c r="K31" s="1205">
        <f t="shared" si="2"/>
        <v>0</v>
      </c>
      <c r="L31" s="1205"/>
      <c r="M31" s="404" t="str">
        <f t="shared" si="3"/>
        <v/>
      </c>
      <c r="N31" s="1228"/>
      <c r="O31" s="1228"/>
      <c r="P31" s="1189"/>
      <c r="Q31" s="1190"/>
      <c r="T31" s="1185" t="s">
        <v>41</v>
      </c>
      <c r="U31" s="1185"/>
      <c r="W31" s="404">
        <f t="shared" si="4"/>
        <v>46392</v>
      </c>
      <c r="AX31" s="122"/>
    </row>
    <row r="32" spans="1:50" ht="12.5" x14ac:dyDescent="0.25">
      <c r="A32" s="123"/>
      <c r="B32" s="123"/>
      <c r="C32" s="272"/>
      <c r="D32" s="272"/>
      <c r="E32" s="423"/>
      <c r="F32" s="267"/>
      <c r="G32" s="267"/>
      <c r="H32" s="267"/>
      <c r="I32" s="267"/>
      <c r="J32" s="272"/>
      <c r="K32" s="1205">
        <f t="shared" si="2"/>
        <v>0</v>
      </c>
      <c r="L32" s="1205"/>
      <c r="M32" s="404" t="str">
        <f t="shared" si="3"/>
        <v/>
      </c>
      <c r="N32" s="1360"/>
      <c r="O32" s="1360"/>
      <c r="P32" s="1189"/>
      <c r="Q32" s="1190"/>
      <c r="T32" s="1185" t="s">
        <v>42</v>
      </c>
      <c r="U32" s="1185"/>
      <c r="W32" s="404">
        <f t="shared" si="4"/>
        <v>46423</v>
      </c>
      <c r="AX32" s="122"/>
    </row>
    <row r="33" spans="1:50" ht="12.5" x14ac:dyDescent="0.25">
      <c r="A33" s="123"/>
      <c r="B33" s="373" t="s">
        <v>51</v>
      </c>
      <c r="C33" s="373" t="s">
        <v>52</v>
      </c>
      <c r="D33" s="373" t="s">
        <v>53</v>
      </c>
      <c r="E33" s="373" t="s">
        <v>54</v>
      </c>
      <c r="F33" s="1221" t="s">
        <v>55</v>
      </c>
      <c r="G33" s="1221"/>
      <c r="H33" s="1221"/>
      <c r="I33" s="1221"/>
      <c r="J33" s="125"/>
      <c r="K33" s="1205">
        <f t="shared" ref="K33:K36" si="5">IF(N33&gt;1,T33,0)</f>
        <v>0</v>
      </c>
      <c r="L33" s="1205"/>
      <c r="M33" s="404" t="str">
        <f t="shared" si="3"/>
        <v/>
      </c>
      <c r="N33" s="1360"/>
      <c r="O33" s="1360"/>
      <c r="P33" s="1189"/>
      <c r="Q33" s="1190"/>
      <c r="T33" s="1185" t="s">
        <v>43</v>
      </c>
      <c r="U33" s="1185"/>
      <c r="W33" s="404">
        <f t="shared" si="4"/>
        <v>46451</v>
      </c>
      <c r="AX33" s="122"/>
    </row>
    <row r="34" spans="1:50" ht="12.5" x14ac:dyDescent="0.25">
      <c r="A34" s="123"/>
      <c r="B34" s="424">
        <v>5</v>
      </c>
      <c r="C34" s="760">
        <f>'STANDARD COMP.'!C33</f>
        <v>7.0000000000000007E-2</v>
      </c>
      <c r="D34" s="425">
        <f>PMT(C34/12,B34*12,-1)</f>
        <v>1.9801198540349535E-2</v>
      </c>
      <c r="E34" s="426">
        <f>F29*D34</f>
        <v>17100.32896119832</v>
      </c>
      <c r="F34" s="1223">
        <f>E34/0.3</f>
        <v>57001.096537327736</v>
      </c>
      <c r="G34" s="1223"/>
      <c r="H34" s="1223"/>
      <c r="I34" s="1223"/>
      <c r="J34" s="125"/>
      <c r="K34" s="1205">
        <f t="shared" si="5"/>
        <v>0</v>
      </c>
      <c r="L34" s="1205"/>
      <c r="M34" s="404" t="str">
        <f t="shared" si="3"/>
        <v/>
      </c>
      <c r="N34" s="1360"/>
      <c r="O34" s="1360"/>
      <c r="P34" s="1189"/>
      <c r="Q34" s="1190"/>
      <c r="T34" s="1185" t="s">
        <v>45</v>
      </c>
      <c r="U34" s="1185"/>
      <c r="W34" s="404">
        <f t="shared" si="4"/>
        <v>46482</v>
      </c>
      <c r="AX34" s="122"/>
    </row>
    <row r="35" spans="1:50" ht="12.5" x14ac:dyDescent="0.25">
      <c r="A35" s="123"/>
      <c r="B35" s="424">
        <v>10</v>
      </c>
      <c r="C35" s="760">
        <f>'STANDARD COMP.'!C34</f>
        <v>7.0000000000000007E-2</v>
      </c>
      <c r="D35" s="425">
        <f>PMT(C35/12,B35*12,-1)</f>
        <v>1.1610847921862406E-2</v>
      </c>
      <c r="E35" s="426">
        <f>F29*D35</f>
        <v>10027.136416904397</v>
      </c>
      <c r="F35" s="1223">
        <f t="shared" ref="F35" si="6">E35/0.3</f>
        <v>33423.788056347992</v>
      </c>
      <c r="G35" s="1223"/>
      <c r="H35" s="1223"/>
      <c r="I35" s="1223"/>
      <c r="J35" s="125"/>
      <c r="K35" s="1205">
        <f t="shared" si="5"/>
        <v>0</v>
      </c>
      <c r="L35" s="1205"/>
      <c r="M35" s="404" t="str">
        <f t="shared" si="3"/>
        <v/>
      </c>
      <c r="N35" s="1360"/>
      <c r="O35" s="1360"/>
      <c r="P35" s="1189"/>
      <c r="Q35" s="1190"/>
      <c r="T35" s="1185" t="s">
        <v>46</v>
      </c>
      <c r="U35" s="1185"/>
      <c r="W35" s="404">
        <f t="shared" si="4"/>
        <v>46512</v>
      </c>
      <c r="AX35" s="122"/>
    </row>
    <row r="36" spans="1:50" ht="12.5" x14ac:dyDescent="0.25">
      <c r="A36" s="123"/>
      <c r="B36" s="424">
        <v>15</v>
      </c>
      <c r="C36" s="760">
        <f>'STANDARD COMP.'!C35</f>
        <v>7.0000000000000007E-2</v>
      </c>
      <c r="D36" s="425">
        <f t="shared" ref="D36:D37" si="7">PMT(C36/12,B36*12,-1)</f>
        <v>8.988282708524269E-3</v>
      </c>
      <c r="E36" s="426">
        <f>F29*D36</f>
        <v>7762.2872574511557</v>
      </c>
      <c r="F36" s="1223">
        <f>E36/0.3</f>
        <v>25874.29085817052</v>
      </c>
      <c r="G36" s="1223"/>
      <c r="H36" s="1223"/>
      <c r="I36" s="1223"/>
      <c r="J36" s="125"/>
      <c r="K36" s="1205">
        <f t="shared" si="5"/>
        <v>0</v>
      </c>
      <c r="L36" s="1205"/>
      <c r="M36" s="404" t="str">
        <f t="shared" si="3"/>
        <v/>
      </c>
      <c r="N36" s="1360"/>
      <c r="O36" s="1360"/>
      <c r="P36" s="1189"/>
      <c r="Q36" s="1190"/>
      <c r="T36" s="1185" t="s">
        <v>47</v>
      </c>
      <c r="U36" s="1185"/>
      <c r="W36" s="404">
        <f t="shared" si="4"/>
        <v>46543</v>
      </c>
      <c r="AX36" s="122"/>
    </row>
    <row r="37" spans="1:50" ht="12.5" x14ac:dyDescent="0.25">
      <c r="A37" s="123"/>
      <c r="B37" s="424">
        <v>20</v>
      </c>
      <c r="C37" s="760">
        <f>'STANDARD COMP.'!C36</f>
        <v>7.0000000000000007E-2</v>
      </c>
      <c r="D37" s="425">
        <f t="shared" si="7"/>
        <v>7.7529893561887461E-3</v>
      </c>
      <c r="E37" s="426">
        <f>F29*D37</f>
        <v>6695.4870511164736</v>
      </c>
      <c r="F37" s="1223">
        <f>E37/0.3</f>
        <v>22318.290170388245</v>
      </c>
      <c r="G37" s="1223"/>
      <c r="H37" s="1223"/>
      <c r="I37" s="1223"/>
      <c r="J37" s="125"/>
      <c r="K37" s="1205">
        <f t="shared" si="2"/>
        <v>0</v>
      </c>
      <c r="L37" s="1205"/>
      <c r="M37" s="404" t="str">
        <f t="shared" si="3"/>
        <v/>
      </c>
      <c r="N37" s="1360"/>
      <c r="O37" s="1360"/>
      <c r="P37" s="1189"/>
      <c r="Q37" s="1190"/>
      <c r="T37" s="1185" t="s">
        <v>49</v>
      </c>
      <c r="U37" s="1185"/>
      <c r="W37" s="404">
        <f t="shared" si="4"/>
        <v>46573</v>
      </c>
      <c r="AX37" s="122"/>
    </row>
    <row r="38" spans="1:50" ht="12.5" x14ac:dyDescent="0.25">
      <c r="A38" s="123"/>
      <c r="B38" s="354" t="str">
        <f>'STANDARD COMP.'!B37</f>
        <v>Fixed for three (3) years</v>
      </c>
      <c r="C38" s="263"/>
      <c r="D38" s="264"/>
      <c r="E38" s="265"/>
      <c r="F38" s="1249"/>
      <c r="G38" s="1249"/>
      <c r="H38" s="374"/>
      <c r="I38" s="123"/>
      <c r="J38" s="125"/>
      <c r="K38" s="1205">
        <f t="shared" si="2"/>
        <v>0</v>
      </c>
      <c r="L38" s="1205"/>
      <c r="M38" s="404" t="str">
        <f t="shared" si="3"/>
        <v/>
      </c>
      <c r="N38" s="1360"/>
      <c r="O38" s="1360"/>
      <c r="P38" s="1189"/>
      <c r="Q38" s="1190"/>
      <c r="T38" s="1185" t="s">
        <v>50</v>
      </c>
      <c r="U38" s="1185"/>
      <c r="W38" s="404">
        <f t="shared" si="4"/>
        <v>46604</v>
      </c>
      <c r="AN38" s="427">
        <v>3128865.99</v>
      </c>
      <c r="AX38" s="122"/>
    </row>
    <row r="39" spans="1:50" ht="12.5" x14ac:dyDescent="0.25">
      <c r="A39" s="123"/>
      <c r="B39" s="354" t="str">
        <f>'STANDARD COMP.'!B38</f>
        <v>Sample Computation for Interest rate is at 7% fixed for three (3) years only</v>
      </c>
      <c r="C39" s="428"/>
      <c r="D39" s="194"/>
      <c r="E39" s="123"/>
      <c r="F39" s="123"/>
      <c r="G39" s="123"/>
      <c r="H39" s="123"/>
      <c r="I39" s="123"/>
      <c r="J39" s="125"/>
      <c r="K39" s="1205">
        <f t="shared" si="2"/>
        <v>0</v>
      </c>
      <c r="L39" s="1205"/>
      <c r="M39" s="404" t="str">
        <f t="shared" si="3"/>
        <v/>
      </c>
      <c r="N39" s="1360"/>
      <c r="O39" s="1360"/>
      <c r="P39" s="1189"/>
      <c r="Q39" s="1190"/>
      <c r="T39" s="1185" t="s">
        <v>56</v>
      </c>
      <c r="U39" s="1185"/>
      <c r="W39" s="404">
        <f t="shared" si="4"/>
        <v>46635</v>
      </c>
      <c r="AX39" s="122"/>
    </row>
    <row r="40" spans="1:50" ht="12.5" x14ac:dyDescent="0.25">
      <c r="A40" s="123"/>
      <c r="B40" s="245" t="s">
        <v>63</v>
      </c>
      <c r="C40" s="123"/>
      <c r="D40" s="194"/>
      <c r="E40" s="123"/>
      <c r="F40" s="123"/>
      <c r="G40" s="123"/>
      <c r="H40" s="123"/>
      <c r="I40" s="123"/>
      <c r="J40" s="200"/>
      <c r="K40" s="1205">
        <f t="shared" si="2"/>
        <v>0</v>
      </c>
      <c r="L40" s="1205"/>
      <c r="M40" s="404" t="str">
        <f t="shared" si="3"/>
        <v/>
      </c>
      <c r="N40" s="1360"/>
      <c r="O40" s="1360"/>
      <c r="P40" s="1189"/>
      <c r="Q40" s="1190"/>
      <c r="T40" s="1185" t="s">
        <v>57</v>
      </c>
      <c r="U40" s="1185"/>
      <c r="W40" s="404">
        <f t="shared" si="4"/>
        <v>46665</v>
      </c>
      <c r="AX40" s="122"/>
    </row>
    <row r="41" spans="1:50" ht="12.5" x14ac:dyDescent="0.25">
      <c r="A41" s="123"/>
      <c r="B41" s="245" t="s">
        <v>65</v>
      </c>
      <c r="C41" s="428"/>
      <c r="D41" s="194"/>
      <c r="E41" s="123"/>
      <c r="F41" s="123"/>
      <c r="G41" s="123"/>
      <c r="H41" s="123"/>
      <c r="I41" s="123"/>
      <c r="J41" s="194"/>
      <c r="K41" s="1205">
        <f t="shared" si="2"/>
        <v>0</v>
      </c>
      <c r="L41" s="1205"/>
      <c r="M41" s="404" t="str">
        <f t="shared" si="3"/>
        <v/>
      </c>
      <c r="N41" s="1360"/>
      <c r="O41" s="1360"/>
      <c r="P41" s="1189"/>
      <c r="Q41" s="1190"/>
      <c r="T41" s="1185" t="s">
        <v>58</v>
      </c>
      <c r="U41" s="1185"/>
      <c r="W41" s="404">
        <f t="shared" si="4"/>
        <v>46696</v>
      </c>
      <c r="AX41" s="122"/>
    </row>
    <row r="42" spans="1:50" ht="12.5" x14ac:dyDescent="0.25">
      <c r="A42" s="123"/>
      <c r="B42" s="240"/>
      <c r="C42" s="123"/>
      <c r="D42" s="123"/>
      <c r="E42" s="123"/>
      <c r="F42" s="123"/>
      <c r="G42" s="123"/>
      <c r="H42" s="123"/>
      <c r="I42" s="123"/>
      <c r="J42" s="194"/>
      <c r="K42" s="1205">
        <f t="shared" si="2"/>
        <v>0</v>
      </c>
      <c r="L42" s="1205"/>
      <c r="M42" s="404" t="str">
        <f t="shared" si="3"/>
        <v/>
      </c>
      <c r="N42" s="1360"/>
      <c r="O42" s="1360"/>
      <c r="P42" s="1189"/>
      <c r="Q42" s="1190"/>
      <c r="T42" s="1185" t="s">
        <v>59</v>
      </c>
      <c r="U42" s="1185"/>
      <c r="W42" s="404">
        <f t="shared" si="4"/>
        <v>46726</v>
      </c>
      <c r="AX42" s="122"/>
    </row>
    <row r="43" spans="1:50" ht="12.5" x14ac:dyDescent="0.25">
      <c r="A43" s="123"/>
      <c r="B43" s="171" t="s">
        <v>202</v>
      </c>
      <c r="C43" s="171"/>
      <c r="D43" s="272"/>
      <c r="E43" s="272"/>
      <c r="F43" s="272"/>
      <c r="G43" s="272"/>
      <c r="H43" s="272"/>
      <c r="I43" s="272"/>
      <c r="J43" s="194"/>
      <c r="K43" s="1205">
        <f t="shared" si="2"/>
        <v>0</v>
      </c>
      <c r="L43" s="1205"/>
      <c r="M43" s="404" t="str">
        <f t="shared" si="3"/>
        <v/>
      </c>
      <c r="N43" s="1360"/>
      <c r="O43" s="1360"/>
      <c r="P43" s="1189"/>
      <c r="Q43" s="1190"/>
      <c r="T43" s="1185" t="s">
        <v>60</v>
      </c>
      <c r="U43" s="1185"/>
      <c r="W43" s="404">
        <f t="shared" si="4"/>
        <v>46757</v>
      </c>
      <c r="AX43" s="122"/>
    </row>
    <row r="44" spans="1:50" ht="12.5" x14ac:dyDescent="0.25">
      <c r="A44" s="123"/>
      <c r="B44" s="272"/>
      <c r="C44" s="272"/>
      <c r="D44" s="272"/>
      <c r="E44" s="272"/>
      <c r="F44" s="272"/>
      <c r="G44" s="272"/>
      <c r="H44" s="272"/>
      <c r="I44" s="272"/>
      <c r="J44" s="194"/>
      <c r="K44" s="1205">
        <f t="shared" si="2"/>
        <v>0</v>
      </c>
      <c r="L44" s="1205"/>
      <c r="M44" s="404" t="str">
        <f t="shared" si="3"/>
        <v/>
      </c>
      <c r="N44" s="1360"/>
      <c r="O44" s="1360"/>
      <c r="P44" s="1189"/>
      <c r="Q44" s="1190"/>
      <c r="T44" s="1185" t="s">
        <v>61</v>
      </c>
      <c r="U44" s="1185"/>
      <c r="W44" s="404">
        <f t="shared" si="4"/>
        <v>46788</v>
      </c>
      <c r="AJ44" s="122"/>
      <c r="AW44" s="122"/>
      <c r="AX44" s="122"/>
    </row>
    <row r="45" spans="1:50" ht="12.5" x14ac:dyDescent="0.25">
      <c r="A45" s="123"/>
      <c r="B45" s="1221" t="s">
        <v>164</v>
      </c>
      <c r="C45" s="1221"/>
      <c r="D45" s="1221" t="s">
        <v>162</v>
      </c>
      <c r="E45" s="1221"/>
      <c r="F45" s="1221"/>
      <c r="G45" s="1221" t="s">
        <v>207</v>
      </c>
      <c r="H45" s="1221"/>
      <c r="I45" s="1221"/>
      <c r="J45" s="200"/>
      <c r="K45" s="1205">
        <f t="shared" si="2"/>
        <v>0</v>
      </c>
      <c r="L45" s="1205"/>
      <c r="M45" s="404" t="str">
        <f t="shared" si="3"/>
        <v/>
      </c>
      <c r="N45" s="1228"/>
      <c r="O45" s="1228"/>
      <c r="P45" s="1189"/>
      <c r="Q45" s="1190"/>
      <c r="T45" s="1185" t="s">
        <v>62</v>
      </c>
      <c r="U45" s="1185"/>
      <c r="W45" s="404">
        <f t="shared" si="4"/>
        <v>46817</v>
      </c>
      <c r="AJ45" s="122"/>
      <c r="AW45" s="122"/>
      <c r="AX45" s="122"/>
    </row>
    <row r="46" spans="1:50" ht="15" customHeight="1" x14ac:dyDescent="0.25">
      <c r="A46" s="123"/>
      <c r="B46" s="1199">
        <f>FORM!O19</f>
        <v>0</v>
      </c>
      <c r="C46" s="1200"/>
      <c r="D46" s="1199">
        <f>FORM!S19</f>
        <v>0</v>
      </c>
      <c r="E46" s="1203"/>
      <c r="F46" s="1200"/>
      <c r="G46" s="1193">
        <f>FORM!V19</f>
        <v>0</v>
      </c>
      <c r="H46" s="1194"/>
      <c r="I46" s="1195"/>
      <c r="J46" s="200"/>
      <c r="K46" s="1205">
        <f t="shared" si="2"/>
        <v>0</v>
      </c>
      <c r="L46" s="1205"/>
      <c r="M46" s="404" t="str">
        <f t="shared" si="3"/>
        <v/>
      </c>
      <c r="N46" s="1228"/>
      <c r="O46" s="1228"/>
      <c r="P46" s="1189"/>
      <c r="Q46" s="1190"/>
      <c r="T46" s="1191" t="s">
        <v>64</v>
      </c>
      <c r="U46" s="1191"/>
      <c r="W46" s="404">
        <f t="shared" si="4"/>
        <v>46848</v>
      </c>
      <c r="AJ46" s="122"/>
      <c r="AW46" s="122"/>
      <c r="AX46" s="122"/>
    </row>
    <row r="47" spans="1:50" ht="12.5" x14ac:dyDescent="0.25">
      <c r="A47" s="123"/>
      <c r="B47" s="1201"/>
      <c r="C47" s="1202"/>
      <c r="D47" s="1201"/>
      <c r="E47" s="1204"/>
      <c r="F47" s="1202"/>
      <c r="G47" s="1196"/>
      <c r="H47" s="1197"/>
      <c r="I47" s="1198"/>
      <c r="J47" s="267"/>
      <c r="K47" s="1205">
        <f t="shared" si="2"/>
        <v>0</v>
      </c>
      <c r="L47" s="1205"/>
      <c r="M47" s="404" t="str">
        <f t="shared" si="3"/>
        <v/>
      </c>
      <c r="N47" s="1228"/>
      <c r="O47" s="1228"/>
      <c r="P47" s="1189"/>
      <c r="Q47" s="1190"/>
      <c r="T47" s="1191" t="s">
        <v>66</v>
      </c>
      <c r="U47" s="1191"/>
      <c r="W47" s="404">
        <f t="shared" si="4"/>
        <v>46878</v>
      </c>
      <c r="AJ47" s="122"/>
      <c r="AW47" s="122"/>
      <c r="AX47" s="122"/>
    </row>
    <row r="48" spans="1:50" ht="15" customHeight="1" x14ac:dyDescent="0.25">
      <c r="A48" s="123"/>
      <c r="B48" s="1199">
        <f>FORM!O21</f>
        <v>0</v>
      </c>
      <c r="C48" s="1200"/>
      <c r="D48" s="1199">
        <f>FORM!S21</f>
        <v>0</v>
      </c>
      <c r="E48" s="1203"/>
      <c r="F48" s="1200"/>
      <c r="G48" s="1193">
        <f>FORM!V21</f>
        <v>0</v>
      </c>
      <c r="H48" s="1194"/>
      <c r="I48" s="1195"/>
      <c r="J48" s="267"/>
      <c r="K48" s="1205">
        <f t="shared" si="2"/>
        <v>0</v>
      </c>
      <c r="L48" s="1205"/>
      <c r="M48" s="404" t="str">
        <f t="shared" si="3"/>
        <v/>
      </c>
      <c r="N48" s="1228"/>
      <c r="O48" s="1228"/>
      <c r="P48" s="1189"/>
      <c r="Q48" s="1190"/>
      <c r="T48" s="1185" t="s">
        <v>67</v>
      </c>
      <c r="U48" s="1185"/>
      <c r="W48" s="404">
        <f t="shared" si="4"/>
        <v>46909</v>
      </c>
      <c r="AJ48" s="122"/>
      <c r="AW48" s="122"/>
      <c r="AX48" s="122"/>
    </row>
    <row r="49" spans="1:50" ht="12.5" x14ac:dyDescent="0.25">
      <c r="A49" s="123"/>
      <c r="B49" s="1201"/>
      <c r="C49" s="1202"/>
      <c r="D49" s="1201"/>
      <c r="E49" s="1204"/>
      <c r="F49" s="1202"/>
      <c r="G49" s="1196"/>
      <c r="H49" s="1197"/>
      <c r="I49" s="1198"/>
      <c r="J49" s="267"/>
      <c r="K49" s="1205">
        <f t="shared" si="2"/>
        <v>0</v>
      </c>
      <c r="L49" s="1205"/>
      <c r="M49" s="404" t="str">
        <f t="shared" si="3"/>
        <v/>
      </c>
      <c r="N49" s="1228"/>
      <c r="O49" s="1228"/>
      <c r="P49" s="1189"/>
      <c r="Q49" s="1190"/>
      <c r="T49" s="1185" t="s">
        <v>69</v>
      </c>
      <c r="U49" s="1185"/>
      <c r="W49" s="404">
        <f t="shared" si="4"/>
        <v>46939</v>
      </c>
      <c r="AJ49" s="122"/>
      <c r="AW49" s="122"/>
      <c r="AX49" s="122"/>
    </row>
    <row r="50" spans="1:50" ht="15" customHeight="1" x14ac:dyDescent="0.25">
      <c r="A50" s="123"/>
      <c r="B50" s="1199">
        <f>FORM!O25</f>
        <v>0</v>
      </c>
      <c r="C50" s="1200"/>
      <c r="D50" s="1199">
        <f>FORM!S25</f>
        <v>0</v>
      </c>
      <c r="E50" s="1203"/>
      <c r="F50" s="1200"/>
      <c r="G50" s="1193">
        <f>FORM!V25</f>
        <v>0</v>
      </c>
      <c r="H50" s="1194"/>
      <c r="I50" s="1195"/>
      <c r="J50" s="123"/>
      <c r="K50" s="1205">
        <f t="shared" si="2"/>
        <v>0</v>
      </c>
      <c r="L50" s="1205"/>
      <c r="M50" s="404" t="str">
        <f t="shared" si="3"/>
        <v/>
      </c>
      <c r="N50" s="1228"/>
      <c r="O50" s="1228"/>
      <c r="P50" s="1189"/>
      <c r="Q50" s="1190"/>
      <c r="T50" s="1185" t="s">
        <v>107</v>
      </c>
      <c r="U50" s="1185"/>
      <c r="W50" s="404">
        <f t="shared" si="4"/>
        <v>46970</v>
      </c>
      <c r="AJ50" s="122"/>
      <c r="AW50" s="122"/>
      <c r="AX50" s="122"/>
    </row>
    <row r="51" spans="1:50" ht="12.5" x14ac:dyDescent="0.25">
      <c r="A51" s="123"/>
      <c r="B51" s="1201"/>
      <c r="C51" s="1202"/>
      <c r="D51" s="1201"/>
      <c r="E51" s="1204"/>
      <c r="F51" s="1202"/>
      <c r="G51" s="1196"/>
      <c r="H51" s="1197"/>
      <c r="I51" s="1198"/>
      <c r="J51" s="123"/>
      <c r="K51" s="1205">
        <f t="shared" si="2"/>
        <v>0</v>
      </c>
      <c r="L51" s="1205"/>
      <c r="M51" s="404" t="str">
        <f t="shared" si="3"/>
        <v/>
      </c>
      <c r="N51" s="1228"/>
      <c r="O51" s="1228"/>
      <c r="P51" s="1189"/>
      <c r="Q51" s="1190"/>
      <c r="T51" s="1185" t="s">
        <v>111</v>
      </c>
      <c r="U51" s="1185"/>
      <c r="W51" s="404">
        <f t="shared" si="4"/>
        <v>47001</v>
      </c>
      <c r="AJ51" s="122"/>
      <c r="AW51" s="122"/>
      <c r="AX51" s="122"/>
    </row>
    <row r="52" spans="1:50" ht="15" customHeight="1" x14ac:dyDescent="0.25">
      <c r="A52" s="123"/>
      <c r="B52" s="1199">
        <f>FORM!O27</f>
        <v>0</v>
      </c>
      <c r="C52" s="1200"/>
      <c r="D52" s="1199">
        <f>FORM!S27</f>
        <v>0</v>
      </c>
      <c r="E52" s="1203"/>
      <c r="F52" s="1200"/>
      <c r="G52" s="1193">
        <f>FORM!V27</f>
        <v>0</v>
      </c>
      <c r="H52" s="1194"/>
      <c r="I52" s="1195"/>
      <c r="J52" s="123"/>
      <c r="K52" s="1205">
        <f t="shared" si="2"/>
        <v>0</v>
      </c>
      <c r="L52" s="1205"/>
      <c r="M52" s="404" t="str">
        <f t="shared" si="3"/>
        <v/>
      </c>
      <c r="N52" s="1228"/>
      <c r="O52" s="1228"/>
      <c r="P52" s="1189"/>
      <c r="Q52" s="1190"/>
      <c r="T52" s="1185" t="s">
        <v>112</v>
      </c>
      <c r="U52" s="1185"/>
      <c r="W52" s="404">
        <f>IF(AND(DAY(W51)&gt;=6,DAY(W51)&lt;=20),DATE(YEAR(W51),MONTH(W51)+1,DAY(20)),IF(AND(DAY(W51)&gt;=21,DAY(W51)&lt;=30),DATE(YEAR(W51),MONTH(W51)+1,IF(DAY(EOMONTH(W51,1))&lt;30,DAY(EOMONTH(W51,1)),DAY(30))),DATE(YEAR(W51),MONTH(W51)+1,DAY(5))))</f>
        <v>47031</v>
      </c>
      <c r="AJ52" s="122"/>
      <c r="AW52" s="122"/>
      <c r="AX52" s="122"/>
    </row>
    <row r="53" spans="1:50" ht="12.5" x14ac:dyDescent="0.25">
      <c r="A53" s="123"/>
      <c r="B53" s="1201"/>
      <c r="C53" s="1202"/>
      <c r="D53" s="1201"/>
      <c r="E53" s="1204"/>
      <c r="F53" s="1202"/>
      <c r="G53" s="1196"/>
      <c r="H53" s="1197"/>
      <c r="I53" s="1198"/>
      <c r="J53" s="123"/>
      <c r="K53" s="1205">
        <f t="shared" si="2"/>
        <v>0</v>
      </c>
      <c r="L53" s="1205"/>
      <c r="M53" s="404" t="str">
        <f t="shared" si="3"/>
        <v/>
      </c>
      <c r="N53" s="1228"/>
      <c r="O53" s="1228"/>
      <c r="P53" s="1189"/>
      <c r="Q53" s="1190"/>
      <c r="T53" s="1185" t="s">
        <v>113</v>
      </c>
      <c r="U53" s="1185"/>
      <c r="W53" s="404">
        <f t="shared" si="4"/>
        <v>47062</v>
      </c>
      <c r="AJ53" s="122"/>
      <c r="AW53" s="122"/>
      <c r="AX53" s="122"/>
    </row>
    <row r="54" spans="1:50" ht="15" customHeight="1" x14ac:dyDescent="0.25">
      <c r="A54" s="123"/>
      <c r="B54" s="1199">
        <f>FORM!O31</f>
        <v>0</v>
      </c>
      <c r="C54" s="1200"/>
      <c r="D54" s="1199">
        <f>FORM!S31</f>
        <v>0</v>
      </c>
      <c r="E54" s="1203"/>
      <c r="F54" s="1200"/>
      <c r="G54" s="1193">
        <f>FORM!V31</f>
        <v>0</v>
      </c>
      <c r="H54" s="1194"/>
      <c r="I54" s="1195"/>
      <c r="J54" s="123"/>
      <c r="K54" s="1205">
        <f t="shared" si="2"/>
        <v>0</v>
      </c>
      <c r="L54" s="1205"/>
      <c r="M54" s="404" t="str">
        <f t="shared" si="3"/>
        <v/>
      </c>
      <c r="N54" s="1228"/>
      <c r="O54" s="1228"/>
      <c r="P54" s="1189"/>
      <c r="Q54" s="1190"/>
      <c r="T54" s="1185" t="s">
        <v>114</v>
      </c>
      <c r="U54" s="1185"/>
      <c r="W54" s="404">
        <f t="shared" si="4"/>
        <v>47092</v>
      </c>
      <c r="AJ54" s="122"/>
      <c r="AW54" s="122"/>
      <c r="AX54" s="122"/>
    </row>
    <row r="55" spans="1:50" ht="12.5" x14ac:dyDescent="0.25">
      <c r="A55" s="123"/>
      <c r="B55" s="1201"/>
      <c r="C55" s="1202"/>
      <c r="D55" s="1201"/>
      <c r="E55" s="1204"/>
      <c r="F55" s="1202"/>
      <c r="G55" s="1196"/>
      <c r="H55" s="1197"/>
      <c r="I55" s="1198"/>
      <c r="J55" s="267"/>
      <c r="K55" s="1205">
        <f t="shared" si="2"/>
        <v>0</v>
      </c>
      <c r="L55" s="1205"/>
      <c r="M55" s="404" t="str">
        <f t="shared" si="3"/>
        <v/>
      </c>
      <c r="N55" s="1228"/>
      <c r="O55" s="1228"/>
      <c r="P55" s="1189"/>
      <c r="Q55" s="1190"/>
      <c r="T55" s="1185" t="s">
        <v>115</v>
      </c>
      <c r="U55" s="1185"/>
      <c r="W55" s="404">
        <f t="shared" si="4"/>
        <v>47123</v>
      </c>
      <c r="AJ55" s="122"/>
      <c r="AW55" s="122"/>
      <c r="AX55" s="122"/>
    </row>
    <row r="56" spans="1:50" ht="12.75" customHeight="1" x14ac:dyDescent="0.25">
      <c r="A56" s="123"/>
      <c r="B56" s="1199">
        <f>FORM!O33</f>
        <v>0</v>
      </c>
      <c r="C56" s="1200"/>
      <c r="D56" s="1199">
        <f>FORM!S33</f>
        <v>0</v>
      </c>
      <c r="E56" s="1203"/>
      <c r="F56" s="1200"/>
      <c r="G56" s="1193">
        <f>FORM!V33</f>
        <v>0</v>
      </c>
      <c r="H56" s="1194"/>
      <c r="I56" s="1195"/>
      <c r="J56" s="267"/>
      <c r="K56" s="1205">
        <f t="shared" si="2"/>
        <v>0</v>
      </c>
      <c r="L56" s="1205"/>
      <c r="M56" s="404" t="str">
        <f t="shared" si="3"/>
        <v/>
      </c>
      <c r="N56" s="1228"/>
      <c r="O56" s="1228"/>
      <c r="P56" s="1189"/>
      <c r="Q56" s="1190"/>
      <c r="T56" s="1185" t="s">
        <v>179</v>
      </c>
      <c r="U56" s="1185"/>
      <c r="W56" s="404">
        <f t="shared" si="4"/>
        <v>47154</v>
      </c>
      <c r="AJ56" s="122"/>
      <c r="AW56" s="122"/>
      <c r="AX56" s="122"/>
    </row>
    <row r="57" spans="1:50" ht="12.5" x14ac:dyDescent="0.25">
      <c r="A57" s="123"/>
      <c r="B57" s="1201"/>
      <c r="C57" s="1202"/>
      <c r="D57" s="1201"/>
      <c r="E57" s="1204"/>
      <c r="F57" s="1202"/>
      <c r="G57" s="1196"/>
      <c r="H57" s="1197"/>
      <c r="I57" s="1198"/>
      <c r="J57" s="267"/>
      <c r="K57" s="1205">
        <f t="shared" si="2"/>
        <v>0</v>
      </c>
      <c r="L57" s="1205"/>
      <c r="M57" s="404" t="str">
        <f t="shared" si="3"/>
        <v/>
      </c>
      <c r="N57" s="1228"/>
      <c r="O57" s="1228"/>
      <c r="P57" s="1189"/>
      <c r="Q57" s="1190"/>
      <c r="T57" s="1185" t="s">
        <v>180</v>
      </c>
      <c r="U57" s="1185"/>
      <c r="W57" s="404">
        <f t="shared" si="4"/>
        <v>47182</v>
      </c>
      <c r="AJ57" s="122"/>
      <c r="AW57" s="122"/>
      <c r="AX57" s="122"/>
    </row>
    <row r="58" spans="1:50" ht="12.5" x14ac:dyDescent="0.25">
      <c r="A58" s="123"/>
      <c r="B58" s="240"/>
      <c r="C58" s="123"/>
      <c r="D58" s="123" t="s">
        <v>1</v>
      </c>
      <c r="E58" s="123"/>
      <c r="F58" s="123"/>
      <c r="G58" s="123"/>
      <c r="H58" s="123"/>
      <c r="I58" s="123"/>
      <c r="J58" s="267"/>
      <c r="K58" s="1205">
        <f t="shared" si="2"/>
        <v>0</v>
      </c>
      <c r="L58" s="1205"/>
      <c r="M58" s="404" t="str">
        <f t="shared" si="3"/>
        <v/>
      </c>
      <c r="N58" s="1228"/>
      <c r="O58" s="1228"/>
      <c r="P58" s="1189"/>
      <c r="Q58" s="1190"/>
      <c r="T58" s="1185" t="s">
        <v>181</v>
      </c>
      <c r="U58" s="1185"/>
      <c r="W58" s="404">
        <f t="shared" si="4"/>
        <v>47213</v>
      </c>
      <c r="AJ58" s="122"/>
      <c r="AW58" s="122"/>
      <c r="AX58" s="122"/>
    </row>
    <row r="59" spans="1:50" ht="12.5" x14ac:dyDescent="0.25">
      <c r="A59" s="123"/>
      <c r="B59" s="240"/>
      <c r="C59" s="123"/>
      <c r="D59" s="123"/>
      <c r="E59" s="123"/>
      <c r="F59" s="123"/>
      <c r="G59" s="123"/>
      <c r="H59" s="123"/>
      <c r="I59" s="123"/>
      <c r="J59" s="267"/>
      <c r="K59" s="1205">
        <f t="shared" ref="K59:K69" si="8">IF(N59&gt;1,T59,0)</f>
        <v>0</v>
      </c>
      <c r="L59" s="1205"/>
      <c r="M59" s="404" t="str">
        <f t="shared" si="3"/>
        <v/>
      </c>
      <c r="N59" s="1228"/>
      <c r="O59" s="1228"/>
      <c r="P59" s="915"/>
      <c r="Q59" s="916"/>
      <c r="T59" s="1185" t="s">
        <v>182</v>
      </c>
      <c r="U59" s="1185"/>
      <c r="W59" s="404">
        <f t="shared" si="4"/>
        <v>47243</v>
      </c>
      <c r="AJ59" s="122"/>
      <c r="AW59" s="122"/>
      <c r="AX59" s="122"/>
    </row>
    <row r="60" spans="1:50" ht="12.5" x14ac:dyDescent="0.25">
      <c r="A60" s="123"/>
      <c r="B60" s="240"/>
      <c r="C60" s="123"/>
      <c r="D60" s="123"/>
      <c r="E60" s="123"/>
      <c r="F60" s="123"/>
      <c r="G60" s="123"/>
      <c r="H60" s="123"/>
      <c r="I60" s="123"/>
      <c r="J60" s="267"/>
      <c r="K60" s="1205">
        <f t="shared" si="8"/>
        <v>0</v>
      </c>
      <c r="L60" s="1205"/>
      <c r="M60" s="404" t="str">
        <f t="shared" si="3"/>
        <v/>
      </c>
      <c r="N60" s="1228"/>
      <c r="O60" s="1228"/>
      <c r="P60" s="915"/>
      <c r="Q60" s="916"/>
      <c r="T60" s="1185" t="s">
        <v>183</v>
      </c>
      <c r="U60" s="1185"/>
      <c r="W60" s="404">
        <f t="shared" si="4"/>
        <v>47274</v>
      </c>
      <c r="AJ60" s="122"/>
      <c r="AW60" s="122"/>
      <c r="AX60" s="122"/>
    </row>
    <row r="61" spans="1:50" ht="12.5" x14ac:dyDescent="0.25">
      <c r="A61" s="123"/>
      <c r="B61" s="240"/>
      <c r="C61" s="123"/>
      <c r="D61" s="123"/>
      <c r="E61" s="123"/>
      <c r="F61" s="123"/>
      <c r="G61" s="123"/>
      <c r="H61" s="123"/>
      <c r="I61" s="123"/>
      <c r="J61" s="267"/>
      <c r="K61" s="1205">
        <f t="shared" si="8"/>
        <v>0</v>
      </c>
      <c r="L61" s="1205"/>
      <c r="M61" s="404" t="str">
        <f t="shared" si="3"/>
        <v/>
      </c>
      <c r="N61" s="1228"/>
      <c r="O61" s="1228"/>
      <c r="P61" s="915"/>
      <c r="Q61" s="916"/>
      <c r="T61" s="1185" t="s">
        <v>184</v>
      </c>
      <c r="U61" s="1185"/>
      <c r="W61" s="404">
        <f t="shared" si="4"/>
        <v>47304</v>
      </c>
      <c r="AJ61" s="122"/>
      <c r="AW61" s="122"/>
      <c r="AX61" s="122"/>
    </row>
    <row r="62" spans="1:50" ht="12.5" x14ac:dyDescent="0.25">
      <c r="A62" s="123"/>
      <c r="B62" s="240"/>
      <c r="C62" s="123"/>
      <c r="D62" s="123"/>
      <c r="E62" s="123"/>
      <c r="F62" s="123"/>
      <c r="G62" s="123"/>
      <c r="H62" s="123"/>
      <c r="I62" s="123"/>
      <c r="J62" s="267"/>
      <c r="K62" s="1205">
        <f t="shared" si="8"/>
        <v>0</v>
      </c>
      <c r="L62" s="1205"/>
      <c r="M62" s="404" t="str">
        <f t="shared" si="3"/>
        <v/>
      </c>
      <c r="N62" s="1228"/>
      <c r="O62" s="1228"/>
      <c r="P62" s="915"/>
      <c r="Q62" s="916"/>
      <c r="T62" s="1185" t="s">
        <v>428</v>
      </c>
      <c r="U62" s="1185"/>
      <c r="W62" s="404">
        <f t="shared" si="4"/>
        <v>47335</v>
      </c>
      <c r="AJ62" s="122"/>
      <c r="AW62" s="122"/>
      <c r="AX62" s="122"/>
    </row>
    <row r="63" spans="1:50" ht="12.5" x14ac:dyDescent="0.25">
      <c r="A63" s="123"/>
      <c r="B63" s="240"/>
      <c r="C63" s="123"/>
      <c r="D63" s="123"/>
      <c r="E63" s="123"/>
      <c r="F63" s="123"/>
      <c r="G63" s="123"/>
      <c r="H63" s="123"/>
      <c r="I63" s="123"/>
      <c r="J63" s="267"/>
      <c r="K63" s="1205">
        <f t="shared" si="8"/>
        <v>0</v>
      </c>
      <c r="L63" s="1205"/>
      <c r="M63" s="404" t="str">
        <f t="shared" si="3"/>
        <v/>
      </c>
      <c r="N63" s="1228"/>
      <c r="O63" s="1228"/>
      <c r="P63" s="915"/>
      <c r="Q63" s="916"/>
      <c r="T63" s="1185" t="s">
        <v>429</v>
      </c>
      <c r="U63" s="1185"/>
      <c r="W63" s="404">
        <f t="shared" si="4"/>
        <v>47366</v>
      </c>
      <c r="AJ63" s="122"/>
      <c r="AW63" s="122"/>
      <c r="AX63" s="122"/>
    </row>
    <row r="64" spans="1:50" ht="12.5" x14ac:dyDescent="0.25">
      <c r="A64" s="123"/>
      <c r="B64" s="240"/>
      <c r="C64" s="123"/>
      <c r="D64" s="123"/>
      <c r="E64" s="123"/>
      <c r="F64" s="123"/>
      <c r="G64" s="123"/>
      <c r="H64" s="123"/>
      <c r="I64" s="123"/>
      <c r="J64" s="267"/>
      <c r="K64" s="1205">
        <f t="shared" si="8"/>
        <v>0</v>
      </c>
      <c r="L64" s="1205"/>
      <c r="M64" s="404" t="str">
        <f t="shared" si="3"/>
        <v/>
      </c>
      <c r="N64" s="1228"/>
      <c r="O64" s="1228"/>
      <c r="P64" s="915"/>
      <c r="Q64" s="916"/>
      <c r="T64" s="1185" t="s">
        <v>430</v>
      </c>
      <c r="U64" s="1185"/>
      <c r="W64" s="404">
        <f t="shared" si="4"/>
        <v>47396</v>
      </c>
      <c r="AJ64" s="122"/>
      <c r="AW64" s="122"/>
      <c r="AX64" s="122"/>
    </row>
    <row r="65" spans="1:50" ht="12.5" x14ac:dyDescent="0.25">
      <c r="A65" s="123"/>
      <c r="B65" s="240"/>
      <c r="C65" s="123"/>
      <c r="D65" s="123"/>
      <c r="E65" s="123"/>
      <c r="F65" s="123"/>
      <c r="G65" s="123"/>
      <c r="H65" s="123"/>
      <c r="I65" s="123"/>
      <c r="J65" s="267"/>
      <c r="K65" s="1205">
        <f t="shared" si="8"/>
        <v>0</v>
      </c>
      <c r="L65" s="1205"/>
      <c r="M65" s="404" t="str">
        <f t="shared" si="3"/>
        <v/>
      </c>
      <c r="N65" s="1228"/>
      <c r="O65" s="1228"/>
      <c r="P65" s="915"/>
      <c r="Q65" s="916"/>
      <c r="T65" s="1185" t="s">
        <v>431</v>
      </c>
      <c r="U65" s="1185"/>
      <c r="W65" s="404">
        <f t="shared" si="4"/>
        <v>47427</v>
      </c>
      <c r="AJ65" s="122"/>
      <c r="AW65" s="122"/>
      <c r="AX65" s="122"/>
    </row>
    <row r="66" spans="1:50" ht="12.5" x14ac:dyDescent="0.25">
      <c r="A66" s="123"/>
      <c r="B66" s="240"/>
      <c r="C66" s="123"/>
      <c r="D66" s="123"/>
      <c r="E66" s="123"/>
      <c r="F66" s="123"/>
      <c r="G66" s="123"/>
      <c r="H66" s="123"/>
      <c r="I66" s="123"/>
      <c r="J66" s="267"/>
      <c r="K66" s="1205">
        <f t="shared" si="8"/>
        <v>0</v>
      </c>
      <c r="L66" s="1205"/>
      <c r="M66" s="404" t="str">
        <f t="shared" si="3"/>
        <v/>
      </c>
      <c r="N66" s="1228"/>
      <c r="O66" s="1228"/>
      <c r="P66" s="915"/>
      <c r="Q66" s="916"/>
      <c r="T66" s="1185" t="s">
        <v>432</v>
      </c>
      <c r="U66" s="1185"/>
      <c r="W66" s="404">
        <f t="shared" si="4"/>
        <v>47457</v>
      </c>
      <c r="AJ66" s="122"/>
      <c r="AW66" s="122"/>
      <c r="AX66" s="122"/>
    </row>
    <row r="67" spans="1:50" ht="12.5" x14ac:dyDescent="0.25">
      <c r="A67" s="123"/>
      <c r="B67" s="240"/>
      <c r="C67" s="123"/>
      <c r="D67" s="123"/>
      <c r="E67" s="123"/>
      <c r="F67" s="123"/>
      <c r="G67" s="123"/>
      <c r="H67" s="123"/>
      <c r="I67" s="123"/>
      <c r="J67" s="267"/>
      <c r="K67" s="1205">
        <f t="shared" si="8"/>
        <v>0</v>
      </c>
      <c r="L67" s="1205"/>
      <c r="M67" s="404" t="str">
        <f t="shared" si="3"/>
        <v/>
      </c>
      <c r="N67" s="1228"/>
      <c r="O67" s="1228"/>
      <c r="P67" s="915"/>
      <c r="Q67" s="916"/>
      <c r="T67" s="1185" t="s">
        <v>433</v>
      </c>
      <c r="U67" s="1185"/>
      <c r="W67" s="404">
        <f t="shared" si="4"/>
        <v>47488</v>
      </c>
      <c r="AJ67" s="122"/>
      <c r="AW67" s="122"/>
      <c r="AX67" s="122"/>
    </row>
    <row r="68" spans="1:50" ht="12.5" x14ac:dyDescent="0.25">
      <c r="A68" s="123"/>
      <c r="B68" s="240"/>
      <c r="C68" s="123"/>
      <c r="D68" s="123"/>
      <c r="E68" s="123"/>
      <c r="F68" s="123"/>
      <c r="G68" s="123"/>
      <c r="H68" s="123"/>
      <c r="I68" s="123"/>
      <c r="J68" s="267"/>
      <c r="K68" s="1205">
        <f t="shared" si="8"/>
        <v>0</v>
      </c>
      <c r="L68" s="1205"/>
      <c r="M68" s="404" t="str">
        <f t="shared" si="3"/>
        <v/>
      </c>
      <c r="N68" s="1228"/>
      <c r="O68" s="1228"/>
      <c r="P68" s="915"/>
      <c r="Q68" s="916"/>
      <c r="T68" s="1185" t="s">
        <v>434</v>
      </c>
      <c r="U68" s="1185"/>
      <c r="W68" s="404">
        <f t="shared" si="4"/>
        <v>47519</v>
      </c>
      <c r="AJ68" s="122"/>
      <c r="AW68" s="122"/>
      <c r="AX68" s="122"/>
    </row>
    <row r="69" spans="1:50" ht="12.5" x14ac:dyDescent="0.25">
      <c r="A69" s="123"/>
      <c r="B69" s="240"/>
      <c r="C69" s="123"/>
      <c r="D69" s="123"/>
      <c r="E69" s="123"/>
      <c r="F69" s="123"/>
      <c r="G69" s="123"/>
      <c r="H69" s="123"/>
      <c r="I69" s="123"/>
      <c r="J69" s="267"/>
      <c r="K69" s="1205">
        <f t="shared" si="8"/>
        <v>0</v>
      </c>
      <c r="L69" s="1205"/>
      <c r="M69" s="404" t="str">
        <f t="shared" si="3"/>
        <v/>
      </c>
      <c r="N69" s="1228"/>
      <c r="O69" s="1228"/>
      <c r="P69" s="915"/>
      <c r="Q69" s="916"/>
      <c r="T69" s="917"/>
      <c r="U69" s="917"/>
      <c r="AJ69" s="122"/>
      <c r="AW69" s="122"/>
      <c r="AX69" s="122"/>
    </row>
    <row r="70" spans="1:50" ht="12.5" x14ac:dyDescent="0.25">
      <c r="A70" s="123"/>
      <c r="C70" s="429" t="s">
        <v>222</v>
      </c>
      <c r="D70" s="1192"/>
      <c r="E70" s="1192"/>
      <c r="F70" s="1192"/>
      <c r="G70" s="123"/>
      <c r="H70" s="123"/>
      <c r="I70" s="123"/>
      <c r="J70" s="267"/>
      <c r="K70" s="1359" t="s">
        <v>341</v>
      </c>
      <c r="L70" s="1205"/>
      <c r="M70" s="404">
        <f>M73</f>
        <v>45966</v>
      </c>
      <c r="N70" s="1228">
        <f>F24</f>
        <v>25400.020649006252</v>
      </c>
      <c r="O70" s="1228"/>
      <c r="P70" s="1189"/>
      <c r="Q70" s="1190"/>
      <c r="T70" s="1185"/>
      <c r="U70" s="1185"/>
      <c r="AJ70" s="122"/>
      <c r="AW70" s="122"/>
      <c r="AX70" s="122"/>
    </row>
    <row r="71" spans="1:50" ht="12.5" hidden="1" x14ac:dyDescent="0.25">
      <c r="A71" s="123"/>
      <c r="B71" s="429"/>
      <c r="C71" s="123"/>
      <c r="D71" s="19"/>
      <c r="E71" s="19"/>
      <c r="F71" s="123"/>
      <c r="G71" s="123"/>
      <c r="H71" s="123"/>
      <c r="I71" s="123"/>
      <c r="J71" s="267"/>
      <c r="K71" s="1205">
        <f t="shared" si="2"/>
        <v>0</v>
      </c>
      <c r="L71" s="1205"/>
      <c r="M71" s="404" t="str">
        <f t="shared" si="3"/>
        <v/>
      </c>
      <c r="N71" s="1228">
        <f>IF($E$27&gt;44,$F$27,0)</f>
        <v>0</v>
      </c>
      <c r="O71" s="1228"/>
      <c r="P71" s="405"/>
      <c r="Q71" s="405"/>
      <c r="T71" s="1185" t="s">
        <v>183</v>
      </c>
      <c r="U71" s="1185"/>
      <c r="W71" s="404">
        <f>IF(AND(DAY(W70)&gt;=6,DAY(W70)&lt;=20),DATE(YEAR(W70),MONTH(W70)+1,DAY(20)),IF(AND(DAY(W70)&gt;=21,DAY(W70)&lt;=30),DATE(YEAR(W70),MONTH(W70)+1,IF(DAY(EOMONTH(W70,1))&lt;30,DAY(EOMONTH(W70,1)),DAY(30))),DATE(YEAR(W70),MONTH(W70)+1,DAY(5))))</f>
        <v>36</v>
      </c>
      <c r="AJ71" s="122"/>
      <c r="AW71" s="122"/>
      <c r="AX71" s="122"/>
    </row>
    <row r="72" spans="1:50" ht="12.5" hidden="1" x14ac:dyDescent="0.25">
      <c r="A72" s="123"/>
      <c r="B72" s="429"/>
      <c r="C72" s="123"/>
      <c r="D72" s="19"/>
      <c r="E72" s="19"/>
      <c r="F72" s="123"/>
      <c r="G72" s="123"/>
      <c r="H72" s="123"/>
      <c r="I72" s="123"/>
      <c r="J72" s="267"/>
      <c r="K72" s="1189">
        <f t="shared" si="2"/>
        <v>0</v>
      </c>
      <c r="L72" s="1190"/>
      <c r="M72" s="404" t="str">
        <f t="shared" si="3"/>
        <v/>
      </c>
      <c r="N72" s="1241">
        <f>IF($E$27&gt;45,$F$27,0)</f>
        <v>0</v>
      </c>
      <c r="O72" s="1242"/>
      <c r="P72" s="405"/>
      <c r="Q72" s="405"/>
      <c r="T72" s="1185" t="s">
        <v>184</v>
      </c>
      <c r="U72" s="1185"/>
      <c r="AJ72" s="122"/>
      <c r="AW72" s="122"/>
      <c r="AX72" s="122"/>
    </row>
    <row r="73" spans="1:50" ht="12.5" x14ac:dyDescent="0.25">
      <c r="A73" s="123"/>
      <c r="B73" s="429"/>
      <c r="C73" s="123"/>
      <c r="D73" s="19"/>
      <c r="E73" s="19"/>
      <c r="F73" s="123"/>
      <c r="G73" s="123"/>
      <c r="H73" s="123"/>
      <c r="I73" s="123"/>
      <c r="J73" s="267"/>
      <c r="K73" s="1243" t="s">
        <v>72</v>
      </c>
      <c r="L73" s="1243"/>
      <c r="M73" s="430">
        <f>IF(DAY(W15)=31,Y17,AA17)</f>
        <v>45966</v>
      </c>
      <c r="N73" s="1244">
        <f>F29</f>
        <v>863600.70206621243</v>
      </c>
      <c r="O73" s="1244"/>
      <c r="P73" s="1245"/>
      <c r="Q73" s="1246"/>
      <c r="AJ73" s="122"/>
      <c r="AW73" s="122"/>
      <c r="AX73" s="122"/>
    </row>
    <row r="74" spans="1:50" ht="12.5" hidden="1" x14ac:dyDescent="0.25">
      <c r="A74" s="123"/>
      <c r="B74" s="429"/>
      <c r="C74" s="123"/>
      <c r="D74" s="19"/>
      <c r="E74" s="19"/>
      <c r="F74" s="123"/>
      <c r="G74" s="123"/>
      <c r="H74" s="123"/>
      <c r="I74" s="123"/>
      <c r="J74" s="267"/>
      <c r="K74" s="1247"/>
      <c r="L74" s="1247"/>
      <c r="M74" s="431"/>
      <c r="N74" s="1248"/>
      <c r="O74" s="1248"/>
      <c r="P74" s="432"/>
      <c r="Q74" s="125"/>
      <c r="AJ74" s="122"/>
      <c r="AW74" s="122"/>
      <c r="AX74" s="122"/>
    </row>
    <row r="75" spans="1:50" ht="12.5" x14ac:dyDescent="0.25">
      <c r="A75" s="123"/>
      <c r="B75" s="429"/>
      <c r="C75" s="123"/>
      <c r="D75" s="19"/>
      <c r="E75" s="19"/>
      <c r="F75" s="123"/>
      <c r="G75" s="123"/>
      <c r="H75" s="123"/>
      <c r="I75" s="123"/>
      <c r="J75" s="267"/>
      <c r="AJ75" s="122"/>
      <c r="AW75" s="122"/>
      <c r="AX75" s="122"/>
    </row>
    <row r="76" spans="1:50" ht="12" customHeight="1" x14ac:dyDescent="0.25">
      <c r="A76" s="123"/>
      <c r="B76" s="125" t="s">
        <v>70</v>
      </c>
      <c r="C76" s="123"/>
      <c r="D76" s="123"/>
      <c r="E76" s="123"/>
      <c r="F76" s="125" t="s">
        <v>71</v>
      </c>
      <c r="G76" s="123"/>
      <c r="H76" s="123"/>
      <c r="I76" s="123"/>
      <c r="J76" s="267"/>
      <c r="K76" s="125" t="s">
        <v>70</v>
      </c>
      <c r="L76" s="123"/>
      <c r="M76" s="123"/>
      <c r="N76" s="123"/>
      <c r="O76" s="125" t="s">
        <v>71</v>
      </c>
      <c r="P76" s="123"/>
      <c r="Q76" s="123"/>
      <c r="AJ76" s="122"/>
      <c r="AW76" s="122"/>
      <c r="AX76" s="122"/>
    </row>
    <row r="77" spans="1:50" ht="12" customHeight="1" x14ac:dyDescent="0.25">
      <c r="A77" s="123"/>
      <c r="B77" s="123"/>
      <c r="C77" s="123"/>
      <c r="D77" s="194"/>
      <c r="E77" s="123"/>
      <c r="F77" s="123"/>
      <c r="G77" s="123"/>
      <c r="H77" s="123"/>
      <c r="I77" s="123"/>
      <c r="J77" s="267"/>
      <c r="K77" s="123"/>
      <c r="L77" s="123"/>
      <c r="M77" s="194"/>
      <c r="N77" s="123"/>
      <c r="O77" s="123"/>
      <c r="P77" s="123"/>
      <c r="Q77" s="123"/>
      <c r="AJ77" s="122"/>
      <c r="AW77" s="122"/>
      <c r="AX77" s="122"/>
    </row>
    <row r="78" spans="1:50" ht="12" customHeight="1" x14ac:dyDescent="0.25">
      <c r="A78" s="123"/>
      <c r="B78" s="123"/>
      <c r="C78" s="123"/>
      <c r="D78" s="194"/>
      <c r="E78" s="123"/>
      <c r="F78" s="123"/>
      <c r="G78" s="123"/>
      <c r="H78" s="123"/>
      <c r="I78" s="123"/>
      <c r="J78" s="267"/>
      <c r="K78" s="123"/>
      <c r="L78" s="123"/>
      <c r="M78" s="194"/>
      <c r="N78" s="123"/>
      <c r="O78" s="123"/>
      <c r="P78" s="123"/>
      <c r="Q78" s="123"/>
      <c r="AJ78" s="122"/>
      <c r="AW78" s="122"/>
      <c r="AX78" s="122"/>
    </row>
    <row r="79" spans="1:50" ht="12" customHeight="1" x14ac:dyDescent="0.25">
      <c r="A79" s="123"/>
      <c r="B79" s="1234" t="str">
        <f>FORM!I28</f>
        <v>selller</v>
      </c>
      <c r="C79" s="1234"/>
      <c r="D79" s="1234"/>
      <c r="E79" s="125"/>
      <c r="F79" s="1234" t="str">
        <f>FORM!I26</f>
        <v>buyer</v>
      </c>
      <c r="G79" s="1234"/>
      <c r="H79" s="1234"/>
      <c r="I79" s="1234"/>
      <c r="J79" s="267"/>
      <c r="K79" s="1234" t="str">
        <f>FORM!I28</f>
        <v>selller</v>
      </c>
      <c r="L79" s="1234"/>
      <c r="M79" s="1234"/>
      <c r="N79" s="125"/>
      <c r="O79" s="1237" t="str">
        <f>FORM!I26</f>
        <v>buyer</v>
      </c>
      <c r="P79" s="1237"/>
      <c r="Q79" s="1237"/>
      <c r="AJ79" s="122"/>
      <c r="AW79" s="122"/>
      <c r="AX79" s="122"/>
    </row>
    <row r="80" spans="1:50" ht="12" customHeight="1" x14ac:dyDescent="0.25">
      <c r="A80" s="123"/>
      <c r="B80" s="134" t="s">
        <v>73</v>
      </c>
      <c r="C80" s="1235"/>
      <c r="D80" s="1235"/>
      <c r="E80" s="123"/>
      <c r="F80" s="1236" t="s">
        <v>74</v>
      </c>
      <c r="G80" s="1236"/>
      <c r="H80" s="1236"/>
      <c r="I80" s="247"/>
      <c r="J80" s="267"/>
      <c r="K80" s="134" t="s">
        <v>73</v>
      </c>
      <c r="L80" s="1235"/>
      <c r="M80" s="1235"/>
      <c r="N80" s="123"/>
      <c r="O80" s="1238" t="s">
        <v>74</v>
      </c>
      <c r="P80" s="1238"/>
      <c r="Q80" s="1238"/>
      <c r="AJ80" s="122"/>
      <c r="AW80" s="122"/>
      <c r="AX80" s="122"/>
    </row>
    <row r="81" spans="1:50" ht="12" customHeight="1" x14ac:dyDescent="0.25">
      <c r="A81" s="123"/>
      <c r="B81" s="240"/>
      <c r="C81" s="123"/>
      <c r="D81" s="123"/>
      <c r="E81" s="123"/>
      <c r="F81" s="123"/>
      <c r="G81" s="123"/>
      <c r="H81" s="123"/>
      <c r="I81" s="123"/>
      <c r="J81" s="267"/>
      <c r="L81" s="122"/>
      <c r="AJ81" s="122"/>
      <c r="AW81" s="122"/>
      <c r="AX81" s="122"/>
    </row>
    <row r="82" spans="1:50" ht="12" customHeight="1" x14ac:dyDescent="0.25">
      <c r="A82" s="123"/>
      <c r="B82" s="240"/>
      <c r="C82" s="123"/>
      <c r="D82" s="123"/>
      <c r="E82" s="123"/>
      <c r="F82" s="123"/>
      <c r="G82" s="123"/>
      <c r="H82" s="123"/>
      <c r="I82" s="123"/>
      <c r="J82" s="267"/>
      <c r="K82" s="232"/>
      <c r="L82" s="123"/>
      <c r="M82" s="259"/>
      <c r="N82" s="123"/>
      <c r="O82" s="123"/>
      <c r="P82" s="123"/>
      <c r="Q82" s="123"/>
      <c r="AJ82" s="122"/>
      <c r="AW82" s="122"/>
      <c r="AX82" s="122"/>
    </row>
    <row r="83" spans="1:50" ht="12" customHeight="1" x14ac:dyDescent="0.25">
      <c r="A83" s="123"/>
      <c r="B83" s="240"/>
      <c r="C83" s="123"/>
      <c r="D83" s="123"/>
      <c r="E83" s="123"/>
      <c r="F83" s="123"/>
      <c r="G83" s="123"/>
      <c r="H83" s="123"/>
      <c r="I83" s="123"/>
      <c r="J83" s="267"/>
      <c r="K83" s="232"/>
      <c r="L83" s="123"/>
      <c r="M83" s="259"/>
      <c r="N83" s="123"/>
      <c r="O83" s="123"/>
      <c r="P83" s="123"/>
      <c r="Q83" s="123"/>
      <c r="AJ83" s="122"/>
      <c r="AW83" s="122"/>
      <c r="AX83" s="122"/>
    </row>
    <row r="84" spans="1:50" ht="12" customHeight="1" x14ac:dyDescent="0.25">
      <c r="A84" s="123"/>
      <c r="B84" s="240"/>
      <c r="C84" s="123"/>
      <c r="D84" s="123"/>
      <c r="E84" s="123"/>
      <c r="F84" s="123"/>
      <c r="G84" s="123"/>
      <c r="H84" s="123"/>
      <c r="I84" s="123"/>
      <c r="J84" s="267"/>
      <c r="K84" s="232"/>
      <c r="L84" s="123"/>
      <c r="M84" s="259"/>
      <c r="N84" s="123"/>
      <c r="O84" s="123"/>
      <c r="P84" s="123"/>
      <c r="Q84" s="123"/>
      <c r="AJ84" s="122"/>
      <c r="AW84" s="122"/>
      <c r="AX84" s="122"/>
    </row>
    <row r="85" spans="1:50" ht="12" customHeight="1" x14ac:dyDescent="0.25">
      <c r="A85" s="123"/>
      <c r="B85" s="240"/>
      <c r="C85" s="123"/>
      <c r="D85" s="123"/>
      <c r="E85" s="123"/>
      <c r="F85" s="123"/>
      <c r="G85" s="123"/>
      <c r="H85" s="123"/>
      <c r="I85" s="123"/>
      <c r="J85" s="267"/>
      <c r="K85" s="232"/>
      <c r="L85" s="123"/>
      <c r="M85" s="259"/>
      <c r="N85" s="123"/>
      <c r="O85" s="123"/>
      <c r="P85" s="123"/>
      <c r="Q85" s="123"/>
      <c r="AJ85" s="122"/>
      <c r="AW85" s="122"/>
      <c r="AX85" s="122"/>
    </row>
    <row r="86" spans="1:50" ht="12" customHeight="1" x14ac:dyDescent="0.25">
      <c r="A86" s="123"/>
      <c r="B86" s="240"/>
      <c r="C86" s="123"/>
      <c r="D86" s="194"/>
      <c r="E86" s="123"/>
      <c r="F86" s="123"/>
      <c r="G86" s="123"/>
      <c r="H86" s="123"/>
      <c r="I86" s="123"/>
      <c r="J86" s="267"/>
      <c r="K86" s="232"/>
      <c r="L86" s="123"/>
      <c r="M86" s="259"/>
      <c r="N86" s="123"/>
      <c r="O86" s="123"/>
      <c r="P86" s="123"/>
      <c r="Q86" s="123"/>
      <c r="AJ86" s="122"/>
      <c r="AW86" s="122"/>
      <c r="AX86" s="122"/>
    </row>
    <row r="87" spans="1:50" ht="12" customHeight="1" x14ac:dyDescent="0.25">
      <c r="A87" s="123"/>
      <c r="B87" s="240"/>
      <c r="C87" s="123"/>
      <c r="D87" s="194"/>
      <c r="E87" s="123"/>
      <c r="F87" s="123"/>
      <c r="G87" s="123"/>
      <c r="H87" s="123"/>
      <c r="I87" s="123"/>
      <c r="J87" s="267"/>
      <c r="K87" s="232"/>
      <c r="L87" s="123"/>
      <c r="M87" s="259"/>
      <c r="N87" s="123"/>
      <c r="O87" s="123"/>
      <c r="P87" s="123"/>
      <c r="Q87" s="123"/>
      <c r="AJ87" s="122"/>
      <c r="AW87" s="122"/>
      <c r="AX87" s="122"/>
    </row>
    <row r="88" spans="1:50" ht="12" customHeight="1" x14ac:dyDescent="0.25">
      <c r="A88" s="123"/>
      <c r="B88" s="240"/>
      <c r="C88" s="123"/>
      <c r="D88" s="194"/>
      <c r="E88" s="123"/>
      <c r="F88" s="123"/>
      <c r="G88" s="123"/>
      <c r="H88" s="123"/>
      <c r="I88" s="123"/>
      <c r="J88" s="267"/>
      <c r="K88" s="232"/>
      <c r="L88" s="123"/>
      <c r="M88" s="259"/>
      <c r="N88" s="123"/>
      <c r="O88" s="123"/>
      <c r="P88" s="123"/>
      <c r="Q88" s="123"/>
      <c r="AJ88" s="122"/>
      <c r="AW88" s="122"/>
      <c r="AX88" s="122"/>
    </row>
    <row r="89" spans="1:50" ht="12" customHeight="1" x14ac:dyDescent="0.25">
      <c r="A89" s="123"/>
      <c r="B89" s="240"/>
      <c r="C89" s="123"/>
      <c r="D89" s="123"/>
      <c r="E89" s="123"/>
      <c r="F89" s="123"/>
      <c r="G89" s="123"/>
      <c r="H89" s="123"/>
      <c r="I89" s="123"/>
      <c r="J89" s="267"/>
      <c r="K89" s="232"/>
      <c r="L89" s="123"/>
      <c r="M89" s="259"/>
      <c r="N89" s="123"/>
      <c r="O89" s="123"/>
      <c r="P89" s="123"/>
      <c r="Q89" s="123"/>
      <c r="AJ89" s="122"/>
      <c r="AW89" s="122"/>
      <c r="AX89" s="122"/>
    </row>
    <row r="90" spans="1:50" ht="12" customHeight="1" x14ac:dyDescent="0.25">
      <c r="A90" s="123"/>
      <c r="B90" s="240"/>
      <c r="C90" s="123"/>
      <c r="D90" s="123"/>
      <c r="E90" s="123"/>
      <c r="F90" s="123"/>
      <c r="G90" s="123"/>
      <c r="H90" s="123"/>
      <c r="I90" s="123"/>
      <c r="J90" s="267"/>
      <c r="K90" s="232"/>
      <c r="L90" s="123"/>
      <c r="M90" s="259"/>
      <c r="N90" s="123"/>
      <c r="O90" s="123"/>
      <c r="P90" s="123"/>
      <c r="Q90" s="123"/>
      <c r="AJ90" s="122"/>
      <c r="AW90" s="122"/>
      <c r="AX90" s="122"/>
    </row>
    <row r="91" spans="1:50" ht="12" customHeight="1" x14ac:dyDescent="0.25">
      <c r="A91" s="123"/>
      <c r="B91" s="240"/>
      <c r="C91" s="123"/>
      <c r="D91" s="123"/>
      <c r="E91" s="123"/>
      <c r="F91" s="123"/>
      <c r="G91" s="123"/>
      <c r="H91" s="123"/>
      <c r="I91" s="123"/>
      <c r="J91" s="267"/>
      <c r="K91" s="232"/>
      <c r="L91" s="123"/>
      <c r="M91" s="259"/>
      <c r="N91" s="123"/>
      <c r="O91" s="123"/>
      <c r="P91" s="123"/>
      <c r="Q91" s="123"/>
      <c r="AJ91" s="122"/>
      <c r="AW91" s="122"/>
      <c r="AX91" s="122"/>
    </row>
    <row r="92" spans="1:50" ht="12" customHeight="1" x14ac:dyDescent="0.25">
      <c r="A92" s="123"/>
      <c r="B92" s="240"/>
      <c r="C92" s="123"/>
      <c r="D92" s="123"/>
      <c r="E92" s="123"/>
      <c r="F92" s="123"/>
      <c r="G92" s="123"/>
      <c r="H92" s="123"/>
      <c r="I92" s="123"/>
      <c r="J92" s="267"/>
      <c r="K92" s="232"/>
      <c r="L92" s="123"/>
      <c r="M92" s="259"/>
      <c r="N92" s="123"/>
      <c r="O92" s="123"/>
      <c r="P92" s="123"/>
      <c r="Q92" s="123"/>
      <c r="AJ92" s="122"/>
      <c r="AW92" s="122"/>
      <c r="AX92" s="122"/>
    </row>
    <row r="93" spans="1:50" ht="12" customHeight="1" x14ac:dyDescent="0.25">
      <c r="A93" s="123"/>
      <c r="B93" s="240"/>
      <c r="C93" s="123"/>
      <c r="D93" s="123"/>
      <c r="E93" s="123"/>
      <c r="F93" s="123"/>
      <c r="G93" s="123"/>
      <c r="H93" s="123"/>
      <c r="I93" s="123"/>
      <c r="J93" s="267"/>
      <c r="K93" s="232"/>
      <c r="L93" s="123"/>
      <c r="M93" s="259"/>
      <c r="N93" s="123"/>
      <c r="O93" s="123"/>
      <c r="P93" s="123"/>
      <c r="Q93" s="123"/>
      <c r="AJ93" s="122"/>
      <c r="AW93" s="122"/>
      <c r="AX93" s="122"/>
    </row>
    <row r="94" spans="1:50" ht="12" customHeight="1" x14ac:dyDescent="0.25">
      <c r="A94" s="123"/>
      <c r="B94" s="240"/>
      <c r="C94" s="123"/>
      <c r="D94" s="123"/>
      <c r="E94" s="123"/>
      <c r="F94" s="123"/>
      <c r="G94" s="123"/>
      <c r="H94" s="123"/>
      <c r="I94" s="123"/>
      <c r="J94" s="267"/>
      <c r="K94" s="232"/>
      <c r="L94" s="123"/>
      <c r="M94" s="259"/>
      <c r="N94" s="123"/>
      <c r="O94" s="123"/>
      <c r="P94" s="123"/>
      <c r="Q94" s="123"/>
      <c r="AJ94" s="122"/>
      <c r="AW94" s="122"/>
      <c r="AX94" s="122"/>
    </row>
    <row r="95" spans="1:50" ht="12" customHeight="1" x14ac:dyDescent="0.25">
      <c r="A95" s="123"/>
      <c r="B95" s="240"/>
      <c r="C95" s="123"/>
      <c r="D95" s="123"/>
      <c r="E95" s="123"/>
      <c r="F95" s="123"/>
      <c r="G95" s="123"/>
      <c r="H95" s="123"/>
      <c r="I95" s="123"/>
      <c r="J95" s="267"/>
      <c r="K95" s="232"/>
      <c r="L95" s="123"/>
      <c r="M95" s="259"/>
      <c r="N95" s="123"/>
      <c r="O95" s="123"/>
      <c r="P95" s="123"/>
      <c r="Q95" s="123"/>
      <c r="AJ95" s="122"/>
      <c r="AW95" s="122"/>
      <c r="AX95" s="122"/>
    </row>
    <row r="96" spans="1:50" ht="12" customHeight="1" x14ac:dyDescent="0.25">
      <c r="A96" s="123"/>
      <c r="B96" s="240"/>
      <c r="C96" s="123"/>
      <c r="D96" s="123"/>
      <c r="E96" s="123"/>
      <c r="F96" s="123"/>
      <c r="G96" s="123"/>
      <c r="H96" s="123"/>
      <c r="I96" s="123"/>
      <c r="J96" s="267"/>
      <c r="K96" s="232"/>
      <c r="L96" s="123"/>
      <c r="M96" s="259"/>
      <c r="N96" s="123"/>
      <c r="O96" s="123"/>
      <c r="P96" s="123"/>
      <c r="Q96" s="123"/>
      <c r="AJ96" s="122"/>
      <c r="AW96" s="122"/>
      <c r="AX96" s="122"/>
    </row>
    <row r="97" spans="1:50" ht="12.5" x14ac:dyDescent="0.25">
      <c r="A97" s="123"/>
      <c r="B97" s="240"/>
      <c r="C97" s="123"/>
      <c r="D97" s="123"/>
      <c r="E97" s="123"/>
      <c r="F97" s="123"/>
      <c r="G97" s="123"/>
      <c r="H97" s="123"/>
      <c r="I97" s="123"/>
      <c r="J97" s="267"/>
      <c r="K97" s="232"/>
      <c r="L97" s="123"/>
      <c r="M97" s="259"/>
      <c r="N97" s="123"/>
      <c r="O97" s="123"/>
      <c r="P97" s="123"/>
      <c r="Q97" s="123"/>
      <c r="AJ97" s="122"/>
      <c r="AW97" s="122"/>
      <c r="AX97" s="122"/>
    </row>
    <row r="98" spans="1:50" ht="12" customHeight="1" x14ac:dyDescent="0.25">
      <c r="A98" s="123"/>
      <c r="B98" s="240"/>
      <c r="C98" s="123"/>
      <c r="D98" s="123"/>
      <c r="E98" s="123"/>
      <c r="F98" s="123"/>
      <c r="G98" s="123"/>
      <c r="H98" s="123"/>
      <c r="I98" s="123"/>
      <c r="J98" s="267"/>
      <c r="K98" s="232"/>
      <c r="L98" s="123"/>
      <c r="M98" s="259"/>
      <c r="N98" s="123"/>
      <c r="O98" s="123"/>
      <c r="P98" s="123"/>
      <c r="Q98" s="123"/>
      <c r="AJ98" s="122"/>
      <c r="AW98" s="122"/>
      <c r="AX98" s="122"/>
    </row>
    <row r="99" spans="1:50" ht="12" customHeight="1" x14ac:dyDescent="0.25">
      <c r="A99" s="123"/>
      <c r="B99" s="240"/>
      <c r="C99" s="123"/>
      <c r="D99" s="123"/>
      <c r="E99" s="123"/>
      <c r="F99" s="123"/>
      <c r="G99" s="123"/>
      <c r="H99" s="123"/>
      <c r="I99" s="123"/>
      <c r="J99" s="267"/>
      <c r="K99" s="232"/>
      <c r="L99" s="123"/>
      <c r="M99" s="259"/>
      <c r="N99" s="123"/>
      <c r="O99" s="123"/>
      <c r="P99" s="123"/>
      <c r="Q99" s="123"/>
      <c r="AJ99" s="122"/>
      <c r="AW99" s="122"/>
      <c r="AX99" s="122"/>
    </row>
    <row r="100" spans="1:50" ht="12" customHeight="1" x14ac:dyDescent="0.25">
      <c r="A100" s="123"/>
      <c r="B100" s="240"/>
      <c r="C100" s="123"/>
      <c r="D100" s="123"/>
      <c r="E100" s="123"/>
      <c r="F100" s="123"/>
      <c r="G100" s="123"/>
      <c r="H100" s="123"/>
      <c r="I100" s="123"/>
      <c r="J100" s="267"/>
      <c r="K100" s="232"/>
      <c r="L100" s="123"/>
      <c r="M100" s="259"/>
      <c r="N100" s="123"/>
      <c r="O100" s="123"/>
      <c r="P100" s="123"/>
      <c r="Q100" s="123"/>
      <c r="AJ100" s="122"/>
      <c r="AW100" s="122"/>
      <c r="AX100" s="122"/>
    </row>
    <row r="101" spans="1:50" ht="12" customHeight="1" x14ac:dyDescent="0.25">
      <c r="A101" s="123"/>
      <c r="B101" s="240"/>
      <c r="C101" s="123"/>
      <c r="D101" s="123"/>
      <c r="E101" s="123"/>
      <c r="F101" s="123"/>
      <c r="G101" s="123"/>
      <c r="H101" s="123"/>
      <c r="I101" s="123"/>
      <c r="J101" s="267"/>
      <c r="K101" s="232"/>
      <c r="L101" s="123"/>
      <c r="M101" s="259"/>
      <c r="N101" s="123"/>
      <c r="O101" s="123"/>
      <c r="P101" s="123"/>
      <c r="Q101" s="123"/>
      <c r="AJ101" s="122"/>
      <c r="AW101" s="122"/>
      <c r="AX101" s="122"/>
    </row>
    <row r="102" spans="1:50" ht="12" customHeight="1" x14ac:dyDescent="0.25">
      <c r="A102" s="123"/>
      <c r="B102" s="240"/>
      <c r="C102" s="123"/>
      <c r="D102" s="123"/>
      <c r="E102" s="123"/>
      <c r="F102" s="123"/>
      <c r="G102" s="123"/>
      <c r="H102" s="123"/>
      <c r="I102" s="123"/>
      <c r="J102" s="267"/>
      <c r="K102" s="232"/>
      <c r="L102" s="123"/>
      <c r="M102" s="259"/>
      <c r="N102" s="123"/>
      <c r="O102" s="123"/>
      <c r="P102" s="123"/>
      <c r="Q102" s="123"/>
      <c r="AJ102" s="122"/>
      <c r="AW102" s="122"/>
      <c r="AX102" s="122"/>
    </row>
    <row r="103" spans="1:50" ht="12" customHeight="1" x14ac:dyDescent="0.25">
      <c r="A103" s="123"/>
      <c r="B103" s="240"/>
      <c r="C103" s="123"/>
      <c r="D103" s="123"/>
      <c r="E103" s="123"/>
      <c r="F103" s="123"/>
      <c r="G103" s="123"/>
      <c r="H103" s="123"/>
      <c r="I103" s="123"/>
      <c r="J103" s="267"/>
      <c r="K103" s="232"/>
      <c r="L103" s="123"/>
      <c r="M103" s="259"/>
      <c r="N103" s="123"/>
      <c r="O103" s="123"/>
      <c r="P103" s="123"/>
      <c r="Q103" s="123"/>
      <c r="AJ103" s="122"/>
      <c r="AW103" s="122"/>
      <c r="AX103" s="122"/>
    </row>
    <row r="104" spans="1:50" ht="12" customHeight="1" x14ac:dyDescent="0.25">
      <c r="A104" s="123"/>
      <c r="B104" s="240"/>
      <c r="C104" s="123"/>
      <c r="D104" s="123"/>
      <c r="E104" s="123"/>
      <c r="F104" s="123"/>
      <c r="G104" s="123"/>
      <c r="H104" s="123"/>
      <c r="I104" s="123"/>
      <c r="J104" s="267"/>
      <c r="K104" s="232"/>
      <c r="L104" s="123"/>
      <c r="M104" s="259"/>
      <c r="N104" s="123"/>
      <c r="O104" s="123"/>
      <c r="P104" s="123"/>
      <c r="Q104" s="123"/>
      <c r="AJ104" s="122"/>
      <c r="AW104" s="122"/>
      <c r="AX104" s="122"/>
    </row>
    <row r="105" spans="1:50" ht="12" customHeight="1" x14ac:dyDescent="0.25">
      <c r="A105" s="123"/>
      <c r="B105" s="240"/>
      <c r="C105" s="123"/>
      <c r="D105" s="123"/>
      <c r="E105" s="123"/>
      <c r="F105" s="123"/>
      <c r="G105" s="123"/>
      <c r="H105" s="123"/>
      <c r="I105" s="123"/>
      <c r="J105" s="267"/>
      <c r="K105" s="232"/>
      <c r="L105" s="123"/>
      <c r="M105" s="259"/>
      <c r="N105" s="123"/>
      <c r="O105" s="123"/>
      <c r="P105" s="123"/>
      <c r="Q105" s="123"/>
      <c r="AJ105" s="122"/>
      <c r="AW105" s="122"/>
      <c r="AX105" s="122"/>
    </row>
    <row r="106" spans="1:50" ht="12" customHeight="1" x14ac:dyDescent="0.25">
      <c r="A106" s="123"/>
      <c r="B106" s="240"/>
      <c r="C106" s="123"/>
      <c r="D106" s="123"/>
      <c r="E106" s="123"/>
      <c r="F106" s="123"/>
      <c r="G106" s="123"/>
      <c r="H106" s="123"/>
      <c r="I106" s="123"/>
      <c r="J106" s="267"/>
      <c r="K106" s="232"/>
      <c r="L106" s="123"/>
      <c r="M106" s="259"/>
      <c r="N106" s="123"/>
      <c r="O106" s="123"/>
      <c r="P106" s="123"/>
      <c r="Q106" s="123"/>
      <c r="AJ106" s="122"/>
      <c r="AW106" s="122"/>
      <c r="AX106" s="122"/>
    </row>
    <row r="107" spans="1:50" ht="12" customHeight="1" x14ac:dyDescent="0.25">
      <c r="A107" s="123"/>
      <c r="B107" s="240"/>
      <c r="C107" s="123"/>
      <c r="D107" s="123"/>
      <c r="E107" s="123"/>
      <c r="F107" s="123"/>
      <c r="G107" s="123"/>
      <c r="H107" s="123"/>
      <c r="I107" s="123"/>
      <c r="J107" s="267"/>
      <c r="K107" s="232"/>
      <c r="L107" s="123"/>
      <c r="M107" s="259"/>
      <c r="N107" s="123"/>
      <c r="O107" s="123"/>
      <c r="P107" s="123"/>
      <c r="Q107" s="123"/>
      <c r="AJ107" s="122"/>
      <c r="AW107" s="122"/>
      <c r="AX107" s="122"/>
    </row>
    <row r="108" spans="1:50" ht="12" customHeight="1" x14ac:dyDescent="0.25">
      <c r="A108" s="123"/>
      <c r="B108" s="240"/>
      <c r="C108" s="123"/>
      <c r="D108" s="123"/>
      <c r="E108" s="123"/>
      <c r="F108" s="123"/>
      <c r="G108" s="123"/>
      <c r="H108" s="123"/>
      <c r="I108" s="123"/>
      <c r="J108" s="267"/>
      <c r="K108" s="232"/>
      <c r="L108" s="123"/>
      <c r="M108" s="259"/>
      <c r="N108" s="123"/>
      <c r="O108" s="123"/>
      <c r="P108" s="123"/>
      <c r="Q108" s="123"/>
      <c r="AJ108" s="122"/>
      <c r="AW108" s="122"/>
      <c r="AX108" s="122"/>
    </row>
    <row r="109" spans="1:50" ht="12" customHeight="1" x14ac:dyDescent="0.25">
      <c r="A109" s="123"/>
      <c r="B109" s="240"/>
      <c r="C109" s="123"/>
      <c r="D109" s="123"/>
      <c r="E109" s="123"/>
      <c r="F109" s="123"/>
      <c r="G109" s="123"/>
      <c r="H109" s="123"/>
      <c r="I109" s="123"/>
      <c r="J109" s="267"/>
      <c r="K109" s="232"/>
      <c r="L109" s="123"/>
      <c r="M109" s="259"/>
      <c r="N109" s="123"/>
      <c r="O109" s="123"/>
      <c r="P109" s="123"/>
      <c r="Q109" s="123"/>
      <c r="AJ109" s="122"/>
      <c r="AW109" s="122"/>
      <c r="AX109" s="122"/>
    </row>
    <row r="110" spans="1:50" ht="12" customHeight="1" x14ac:dyDescent="0.25">
      <c r="A110" s="123"/>
      <c r="B110" s="240"/>
      <c r="C110" s="123"/>
      <c r="D110" s="123"/>
      <c r="E110" s="123"/>
      <c r="F110" s="123"/>
      <c r="G110" s="123"/>
      <c r="H110" s="123"/>
      <c r="I110" s="123"/>
      <c r="J110" s="267"/>
      <c r="K110" s="232"/>
      <c r="L110" s="123"/>
      <c r="M110" s="259"/>
      <c r="N110" s="123"/>
      <c r="O110" s="123"/>
      <c r="P110" s="123"/>
      <c r="Q110" s="123"/>
      <c r="AJ110" s="122"/>
      <c r="AW110" s="122"/>
      <c r="AX110" s="122"/>
    </row>
    <row r="111" spans="1:50" ht="12" customHeight="1" x14ac:dyDescent="0.25">
      <c r="A111" s="123"/>
      <c r="B111" s="240"/>
      <c r="C111" s="123"/>
      <c r="D111" s="123"/>
      <c r="E111" s="123"/>
      <c r="F111" s="123"/>
      <c r="G111" s="123"/>
      <c r="H111" s="123"/>
      <c r="I111" s="123"/>
      <c r="J111" s="267"/>
      <c r="K111" s="232"/>
      <c r="L111" s="123"/>
      <c r="M111" s="259"/>
      <c r="N111" s="123"/>
      <c r="O111" s="123"/>
      <c r="P111" s="123"/>
      <c r="Q111" s="123"/>
      <c r="AJ111" s="122"/>
      <c r="AW111" s="122"/>
      <c r="AX111" s="122"/>
    </row>
    <row r="112" spans="1:50" ht="12" customHeight="1" x14ac:dyDescent="0.25">
      <c r="A112" s="123"/>
      <c r="B112" s="240"/>
      <c r="C112" s="123"/>
      <c r="D112" s="123"/>
      <c r="E112" s="123"/>
      <c r="F112" s="123"/>
      <c r="G112" s="123"/>
      <c r="H112" s="123"/>
      <c r="I112" s="123"/>
      <c r="J112" s="267"/>
      <c r="K112" s="232"/>
      <c r="L112" s="123"/>
      <c r="M112" s="259"/>
      <c r="N112" s="123"/>
      <c r="O112" s="123"/>
      <c r="P112" s="123"/>
      <c r="Q112" s="123"/>
      <c r="AJ112" s="122"/>
      <c r="AW112" s="122"/>
      <c r="AX112" s="122"/>
    </row>
    <row r="113" spans="1:50" ht="12" customHeight="1" x14ac:dyDescent="0.25">
      <c r="A113" s="123"/>
      <c r="B113" s="240"/>
      <c r="C113" s="123"/>
      <c r="D113" s="123"/>
      <c r="E113" s="123"/>
      <c r="F113" s="123"/>
      <c r="G113" s="123"/>
      <c r="H113" s="123"/>
      <c r="I113" s="123"/>
      <c r="J113" s="267"/>
      <c r="K113" s="232"/>
      <c r="L113" s="123"/>
      <c r="M113" s="259"/>
      <c r="N113" s="123"/>
      <c r="O113" s="123"/>
      <c r="P113" s="123"/>
      <c r="Q113" s="123"/>
      <c r="AJ113" s="122"/>
      <c r="AW113" s="122"/>
      <c r="AX113" s="122"/>
    </row>
    <row r="114" spans="1:50" ht="12" customHeight="1" x14ac:dyDescent="0.25">
      <c r="A114" s="123"/>
      <c r="B114" s="240"/>
      <c r="C114" s="123"/>
      <c r="D114" s="123"/>
      <c r="E114" s="123"/>
      <c r="F114" s="123"/>
      <c r="G114" s="123"/>
      <c r="H114" s="123"/>
      <c r="I114" s="123"/>
      <c r="J114" s="267"/>
      <c r="K114" s="232"/>
      <c r="L114" s="123"/>
      <c r="M114" s="259"/>
      <c r="N114" s="123"/>
      <c r="O114" s="123"/>
      <c r="P114" s="123"/>
      <c r="Q114" s="123"/>
      <c r="AJ114" s="122"/>
      <c r="AW114" s="122"/>
      <c r="AX114" s="122"/>
    </row>
    <row r="115" spans="1:50" ht="12" customHeight="1" x14ac:dyDescent="0.25">
      <c r="A115" s="123"/>
      <c r="B115" s="240"/>
      <c r="C115" s="123"/>
      <c r="D115" s="123"/>
      <c r="E115" s="123"/>
      <c r="F115" s="123"/>
      <c r="G115" s="123"/>
      <c r="H115" s="123"/>
      <c r="I115" s="123"/>
      <c r="J115" s="267"/>
      <c r="K115" s="232"/>
      <c r="L115" s="123"/>
      <c r="M115" s="259"/>
      <c r="N115" s="123"/>
      <c r="O115" s="123"/>
      <c r="P115" s="123"/>
      <c r="Q115" s="123"/>
      <c r="AJ115" s="122"/>
      <c r="AW115" s="122"/>
      <c r="AX115" s="122"/>
    </row>
    <row r="116" spans="1:50" ht="12" customHeight="1" x14ac:dyDescent="0.25">
      <c r="A116" s="123"/>
      <c r="B116" s="240"/>
      <c r="C116" s="123"/>
      <c r="D116" s="123"/>
      <c r="E116" s="123"/>
      <c r="F116" s="123"/>
      <c r="G116" s="123"/>
      <c r="H116" s="123"/>
      <c r="I116" s="123"/>
      <c r="J116" s="267"/>
      <c r="K116" s="232"/>
      <c r="L116" s="123"/>
      <c r="M116" s="259"/>
      <c r="N116" s="123"/>
      <c r="O116" s="123"/>
      <c r="P116" s="123"/>
      <c r="Q116" s="123"/>
      <c r="AJ116" s="122"/>
      <c r="AW116" s="122"/>
      <c r="AX116" s="122"/>
    </row>
    <row r="117" spans="1:50" ht="12" customHeight="1" x14ac:dyDescent="0.25">
      <c r="A117" s="123"/>
      <c r="B117" s="240"/>
      <c r="C117" s="123"/>
      <c r="D117" s="123"/>
      <c r="E117" s="123"/>
      <c r="F117" s="123"/>
      <c r="G117" s="123"/>
      <c r="H117" s="123"/>
      <c r="I117" s="123"/>
      <c r="J117" s="267"/>
      <c r="K117" s="232"/>
      <c r="L117" s="123"/>
      <c r="M117" s="259"/>
      <c r="N117" s="123"/>
      <c r="O117" s="123"/>
      <c r="P117" s="123"/>
      <c r="Q117" s="123"/>
      <c r="AJ117" s="122"/>
      <c r="AW117" s="122"/>
      <c r="AX117" s="122"/>
    </row>
    <row r="118" spans="1:50" ht="12" customHeight="1" x14ac:dyDescent="0.25">
      <c r="A118" s="123"/>
      <c r="B118" s="240"/>
      <c r="C118" s="123"/>
      <c r="D118" s="123"/>
      <c r="E118" s="123"/>
      <c r="F118" s="123"/>
      <c r="G118" s="123"/>
      <c r="H118" s="123"/>
      <c r="I118" s="123"/>
      <c r="J118" s="267"/>
      <c r="K118" s="232"/>
      <c r="L118" s="123"/>
      <c r="M118" s="259"/>
      <c r="N118" s="123"/>
      <c r="O118" s="123"/>
      <c r="P118" s="123"/>
      <c r="Q118" s="123"/>
      <c r="AJ118" s="122"/>
      <c r="AW118" s="122"/>
      <c r="AX118" s="122"/>
    </row>
    <row r="119" spans="1:50" ht="12" customHeight="1" x14ac:dyDescent="0.25">
      <c r="A119" s="123"/>
      <c r="B119" s="240"/>
      <c r="C119" s="123"/>
      <c r="D119" s="123"/>
      <c r="E119" s="123"/>
      <c r="F119" s="123"/>
      <c r="G119" s="123"/>
      <c r="H119" s="123"/>
      <c r="I119" s="123"/>
      <c r="J119" s="267"/>
      <c r="K119" s="232"/>
      <c r="L119" s="123"/>
      <c r="M119" s="259"/>
      <c r="N119" s="123"/>
      <c r="O119" s="123"/>
      <c r="P119" s="123"/>
      <c r="Q119" s="123"/>
      <c r="AJ119" s="122"/>
      <c r="AW119" s="122"/>
      <c r="AX119" s="122"/>
    </row>
    <row r="120" spans="1:50" ht="12" customHeight="1" x14ac:dyDescent="0.25">
      <c r="A120" s="123"/>
      <c r="B120" s="240"/>
      <c r="C120" s="123"/>
      <c r="D120" s="123"/>
      <c r="E120" s="123"/>
      <c r="F120" s="123"/>
      <c r="G120" s="123"/>
      <c r="H120" s="123"/>
      <c r="I120" s="123"/>
      <c r="J120" s="267"/>
      <c r="K120" s="232"/>
      <c r="L120" s="123"/>
      <c r="M120" s="259"/>
      <c r="N120" s="123"/>
      <c r="O120" s="123"/>
      <c r="P120" s="123"/>
      <c r="Q120" s="123"/>
      <c r="AJ120" s="122"/>
      <c r="AW120" s="122"/>
      <c r="AX120" s="122"/>
    </row>
    <row r="121" spans="1:50" ht="12" customHeight="1" x14ac:dyDescent="0.25">
      <c r="A121" s="123"/>
      <c r="B121" s="240"/>
      <c r="C121" s="123"/>
      <c r="D121" s="123"/>
      <c r="E121" s="123"/>
      <c r="F121" s="123"/>
      <c r="G121" s="123"/>
      <c r="H121" s="123"/>
      <c r="I121" s="123"/>
      <c r="J121" s="267"/>
      <c r="K121" s="232"/>
      <c r="L121" s="123"/>
      <c r="M121" s="259"/>
      <c r="N121" s="123"/>
      <c r="O121" s="123"/>
      <c r="P121" s="123"/>
      <c r="Q121" s="123"/>
      <c r="AJ121" s="122"/>
      <c r="AW121" s="122"/>
      <c r="AX121" s="122"/>
    </row>
    <row r="122" spans="1:50" ht="12" customHeight="1" x14ac:dyDescent="0.25">
      <c r="A122" s="123"/>
      <c r="B122" s="240"/>
      <c r="C122" s="123"/>
      <c r="D122" s="123"/>
      <c r="E122" s="123"/>
      <c r="F122" s="123"/>
      <c r="G122" s="123"/>
      <c r="H122" s="123"/>
      <c r="I122" s="123"/>
      <c r="J122" s="267"/>
      <c r="K122" s="232"/>
      <c r="L122" s="123"/>
      <c r="M122" s="259"/>
      <c r="N122" s="123"/>
      <c r="O122" s="123"/>
      <c r="P122" s="123"/>
      <c r="Q122" s="123"/>
      <c r="AJ122" s="122"/>
      <c r="AW122" s="122"/>
      <c r="AX122" s="122"/>
    </row>
    <row r="123" spans="1:50" ht="12" customHeight="1" x14ac:dyDescent="0.25">
      <c r="A123" s="123"/>
      <c r="B123" s="240"/>
      <c r="C123" s="123"/>
      <c r="D123" s="123"/>
      <c r="E123" s="123"/>
      <c r="F123" s="123"/>
      <c r="G123" s="123"/>
      <c r="H123" s="123"/>
      <c r="I123" s="123"/>
      <c r="J123" s="267"/>
      <c r="K123" s="232"/>
      <c r="L123" s="123"/>
      <c r="M123" s="259"/>
      <c r="N123" s="123"/>
      <c r="O123" s="123"/>
      <c r="P123" s="123"/>
      <c r="Q123" s="123"/>
      <c r="AJ123" s="122"/>
      <c r="AW123" s="122"/>
      <c r="AX123" s="122"/>
    </row>
    <row r="124" spans="1:50" ht="12" customHeight="1" x14ac:dyDescent="0.25">
      <c r="A124" s="123"/>
      <c r="B124" s="240"/>
      <c r="C124" s="123"/>
      <c r="D124" s="123"/>
      <c r="E124" s="123"/>
      <c r="F124" s="123"/>
      <c r="G124" s="123"/>
      <c r="H124" s="123"/>
      <c r="I124" s="123"/>
      <c r="J124" s="267"/>
      <c r="K124" s="232"/>
      <c r="L124" s="123"/>
      <c r="M124" s="259"/>
      <c r="N124" s="123"/>
      <c r="O124" s="123"/>
      <c r="P124" s="123"/>
      <c r="Q124" s="123"/>
      <c r="AJ124" s="122"/>
      <c r="AW124" s="122"/>
      <c r="AX124" s="122"/>
    </row>
    <row r="125" spans="1:50" ht="12" customHeight="1" x14ac:dyDescent="0.25">
      <c r="A125" s="123"/>
      <c r="B125" s="240"/>
      <c r="C125" s="123"/>
      <c r="D125" s="123"/>
      <c r="E125" s="123"/>
      <c r="F125" s="123"/>
      <c r="G125" s="123"/>
      <c r="H125" s="123"/>
      <c r="I125" s="123"/>
      <c r="J125" s="267"/>
      <c r="K125" s="232"/>
      <c r="L125" s="123"/>
      <c r="M125" s="259"/>
      <c r="N125" s="123"/>
      <c r="O125" s="123"/>
      <c r="P125" s="123"/>
      <c r="Q125" s="123"/>
      <c r="AJ125" s="122"/>
      <c r="AW125" s="122"/>
      <c r="AX125" s="122"/>
    </row>
    <row r="126" spans="1:50" ht="12" customHeight="1" x14ac:dyDescent="0.25">
      <c r="A126" s="123"/>
      <c r="B126" s="240"/>
      <c r="C126" s="123"/>
      <c r="D126" s="123"/>
      <c r="E126" s="123"/>
      <c r="F126" s="123"/>
      <c r="G126" s="123"/>
      <c r="H126" s="123"/>
      <c r="I126" s="123"/>
      <c r="J126" s="267"/>
      <c r="K126" s="232"/>
      <c r="L126" s="123"/>
      <c r="M126" s="259"/>
      <c r="N126" s="123"/>
      <c r="O126" s="123"/>
      <c r="P126" s="123"/>
      <c r="Q126" s="123"/>
      <c r="AJ126" s="122"/>
      <c r="AW126" s="122"/>
      <c r="AX126" s="122"/>
    </row>
    <row r="127" spans="1:50" ht="12" customHeight="1" x14ac:dyDescent="0.25">
      <c r="A127" s="123"/>
      <c r="B127" s="240"/>
      <c r="C127" s="123"/>
      <c r="D127" s="123"/>
      <c r="E127" s="123"/>
      <c r="F127" s="123"/>
      <c r="G127" s="123"/>
      <c r="H127" s="123"/>
      <c r="I127" s="123"/>
      <c r="J127" s="267"/>
      <c r="K127" s="232"/>
      <c r="L127" s="123"/>
      <c r="M127" s="259"/>
      <c r="N127" s="123"/>
      <c r="O127" s="123"/>
      <c r="P127" s="123"/>
      <c r="Q127" s="123"/>
      <c r="AJ127" s="122"/>
      <c r="AW127" s="122"/>
      <c r="AX127" s="122"/>
    </row>
    <row r="128" spans="1:50" ht="12" customHeight="1" x14ac:dyDescent="0.25">
      <c r="A128" s="123"/>
      <c r="B128" s="240"/>
      <c r="C128" s="123"/>
      <c r="D128" s="123"/>
      <c r="E128" s="123"/>
      <c r="F128" s="123"/>
      <c r="G128" s="123"/>
      <c r="H128" s="123"/>
      <c r="I128" s="123"/>
      <c r="J128" s="267"/>
      <c r="K128" s="232"/>
      <c r="L128" s="123"/>
      <c r="M128" s="259"/>
      <c r="N128" s="123"/>
      <c r="O128" s="123"/>
      <c r="P128" s="123"/>
      <c r="Q128" s="123"/>
      <c r="AJ128" s="122"/>
      <c r="AW128" s="122"/>
      <c r="AX128" s="122"/>
    </row>
    <row r="129" spans="1:50" ht="12" customHeight="1" x14ac:dyDescent="0.25">
      <c r="A129" s="123"/>
      <c r="B129" s="240"/>
      <c r="C129" s="123"/>
      <c r="D129" s="123"/>
      <c r="E129" s="123"/>
      <c r="F129" s="123"/>
      <c r="G129" s="123"/>
      <c r="H129" s="123"/>
      <c r="I129" s="123"/>
      <c r="J129" s="267"/>
      <c r="K129" s="232"/>
      <c r="L129" s="123"/>
      <c r="M129" s="259"/>
      <c r="N129" s="123"/>
      <c r="O129" s="123"/>
      <c r="P129" s="123"/>
      <c r="Q129" s="123"/>
      <c r="AJ129" s="122"/>
      <c r="AW129" s="122"/>
      <c r="AX129" s="122"/>
    </row>
    <row r="130" spans="1:50" ht="12" customHeight="1" x14ac:dyDescent="0.25">
      <c r="A130" s="123"/>
      <c r="B130" s="240"/>
      <c r="C130" s="123"/>
      <c r="D130" s="123"/>
      <c r="E130" s="123"/>
      <c r="F130" s="123"/>
      <c r="G130" s="123"/>
      <c r="H130" s="123"/>
      <c r="I130" s="123"/>
      <c r="J130" s="267"/>
      <c r="K130" s="232"/>
      <c r="L130" s="123"/>
      <c r="M130" s="259"/>
      <c r="N130" s="123"/>
      <c r="O130" s="123"/>
      <c r="P130" s="123"/>
      <c r="Q130" s="123"/>
      <c r="AJ130" s="122"/>
      <c r="AW130" s="122"/>
      <c r="AX130" s="122"/>
    </row>
    <row r="131" spans="1:50" ht="12" customHeight="1" x14ac:dyDescent="0.25">
      <c r="A131" s="123"/>
      <c r="B131" s="240"/>
      <c r="C131" s="123"/>
      <c r="D131" s="123"/>
      <c r="E131" s="123"/>
      <c r="F131" s="123"/>
      <c r="G131" s="123"/>
      <c r="H131" s="123"/>
      <c r="I131" s="123"/>
      <c r="J131" s="267"/>
      <c r="K131" s="232"/>
      <c r="L131" s="123"/>
      <c r="M131" s="259"/>
      <c r="N131" s="123"/>
      <c r="O131" s="123"/>
      <c r="P131" s="123"/>
      <c r="Q131" s="123"/>
      <c r="AJ131" s="122"/>
      <c r="AW131" s="122"/>
      <c r="AX131" s="122"/>
    </row>
    <row r="132" spans="1:50" ht="12" customHeight="1" x14ac:dyDescent="0.25">
      <c r="A132" s="123"/>
      <c r="B132" s="240"/>
      <c r="C132" s="123"/>
      <c r="D132" s="123"/>
      <c r="E132" s="123"/>
      <c r="F132" s="123"/>
      <c r="G132" s="123"/>
      <c r="H132" s="123"/>
      <c r="I132" s="123"/>
      <c r="J132" s="267"/>
      <c r="K132" s="232"/>
      <c r="L132" s="123"/>
      <c r="M132" s="259"/>
      <c r="N132" s="123"/>
      <c r="O132" s="123"/>
      <c r="P132" s="123"/>
      <c r="Q132" s="123"/>
      <c r="AJ132" s="122"/>
      <c r="AW132" s="122"/>
      <c r="AX132" s="122"/>
    </row>
    <row r="133" spans="1:50" ht="12" customHeight="1" x14ac:dyDescent="0.25">
      <c r="A133" s="123"/>
      <c r="B133" s="240"/>
      <c r="C133" s="123"/>
      <c r="D133" s="123"/>
      <c r="E133" s="123"/>
      <c r="F133" s="123"/>
      <c r="G133" s="123"/>
      <c r="H133" s="123"/>
      <c r="I133" s="123"/>
      <c r="J133" s="267"/>
      <c r="K133" s="232"/>
      <c r="L133" s="123"/>
      <c r="M133" s="259"/>
      <c r="N133" s="123"/>
      <c r="O133" s="123"/>
      <c r="P133" s="123"/>
      <c r="Q133" s="123"/>
      <c r="AJ133" s="122"/>
      <c r="AW133" s="122"/>
      <c r="AX133" s="122"/>
    </row>
    <row r="134" spans="1:50" ht="12" customHeight="1" x14ac:dyDescent="0.25">
      <c r="A134" s="123"/>
      <c r="B134" s="240"/>
      <c r="C134" s="123"/>
      <c r="D134" s="123"/>
      <c r="E134" s="123"/>
      <c r="F134" s="123"/>
      <c r="G134" s="123"/>
      <c r="H134" s="123"/>
      <c r="I134" s="123"/>
      <c r="J134" s="267"/>
      <c r="K134" s="232"/>
      <c r="L134" s="123"/>
      <c r="M134" s="259"/>
      <c r="N134" s="123"/>
      <c r="O134" s="123"/>
      <c r="P134" s="123"/>
      <c r="Q134" s="123"/>
      <c r="AJ134" s="122"/>
      <c r="AW134" s="122"/>
      <c r="AX134" s="122"/>
    </row>
    <row r="135" spans="1:50" ht="12" customHeight="1" x14ac:dyDescent="0.25">
      <c r="A135" s="123"/>
      <c r="B135" s="240"/>
      <c r="C135" s="123"/>
      <c r="D135" s="123"/>
      <c r="E135" s="123"/>
      <c r="F135" s="123"/>
      <c r="G135" s="123"/>
      <c r="H135" s="123"/>
      <c r="I135" s="123"/>
      <c r="J135" s="267"/>
      <c r="K135" s="232"/>
      <c r="L135" s="123"/>
      <c r="M135" s="259"/>
      <c r="N135" s="123"/>
      <c r="O135" s="123"/>
      <c r="P135" s="123"/>
      <c r="Q135" s="123"/>
      <c r="AJ135" s="122"/>
      <c r="AW135" s="122"/>
      <c r="AX135" s="122"/>
    </row>
    <row r="136" spans="1:50" ht="12" customHeight="1" x14ac:dyDescent="0.25">
      <c r="A136" s="123"/>
      <c r="B136" s="240"/>
      <c r="C136" s="123"/>
      <c r="D136" s="123"/>
      <c r="E136" s="123"/>
      <c r="F136" s="123"/>
      <c r="G136" s="123"/>
      <c r="H136" s="123"/>
      <c r="I136" s="123"/>
      <c r="J136" s="267"/>
      <c r="K136" s="232"/>
      <c r="L136" s="123"/>
      <c r="M136" s="259"/>
      <c r="N136" s="123"/>
      <c r="O136" s="123"/>
      <c r="P136" s="123"/>
      <c r="Q136" s="123"/>
      <c r="AJ136" s="122"/>
      <c r="AW136" s="122"/>
      <c r="AX136" s="122"/>
    </row>
    <row r="137" spans="1:50" ht="12" customHeight="1" x14ac:dyDescent="0.25">
      <c r="A137" s="123"/>
      <c r="B137" s="240"/>
      <c r="C137" s="123"/>
      <c r="D137" s="123"/>
      <c r="E137" s="123"/>
      <c r="F137" s="123"/>
      <c r="G137" s="123"/>
      <c r="H137" s="123"/>
      <c r="I137" s="123"/>
      <c r="J137" s="267"/>
      <c r="K137" s="232"/>
      <c r="L137" s="123"/>
      <c r="M137" s="259"/>
      <c r="N137" s="123"/>
      <c r="O137" s="123"/>
      <c r="P137" s="123"/>
      <c r="Q137" s="123"/>
      <c r="AJ137" s="122"/>
      <c r="AW137" s="122"/>
      <c r="AX137" s="122"/>
    </row>
    <row r="138" spans="1:50" ht="12" customHeight="1" x14ac:dyDescent="0.25">
      <c r="A138" s="123"/>
      <c r="B138" s="240"/>
      <c r="C138" s="123"/>
      <c r="D138" s="123"/>
      <c r="E138" s="123"/>
      <c r="F138" s="123"/>
      <c r="G138" s="123"/>
      <c r="H138" s="123"/>
      <c r="I138" s="123"/>
      <c r="J138" s="267"/>
      <c r="K138" s="232"/>
      <c r="L138" s="123"/>
      <c r="M138" s="259"/>
      <c r="N138" s="123"/>
      <c r="O138" s="123"/>
      <c r="P138" s="123"/>
      <c r="Q138" s="123"/>
      <c r="AJ138" s="122"/>
      <c r="AW138" s="122"/>
      <c r="AX138" s="122"/>
    </row>
    <row r="139" spans="1:50" ht="12" customHeight="1" x14ac:dyDescent="0.25">
      <c r="A139" s="123"/>
      <c r="B139" s="240"/>
      <c r="C139" s="123"/>
      <c r="D139" s="123"/>
      <c r="E139" s="123"/>
      <c r="F139" s="123"/>
      <c r="G139" s="123"/>
      <c r="H139" s="123"/>
      <c r="I139" s="123"/>
      <c r="J139" s="267"/>
      <c r="K139" s="232"/>
      <c r="L139" s="123"/>
      <c r="M139" s="259"/>
      <c r="N139" s="123"/>
      <c r="O139" s="123"/>
      <c r="P139" s="123"/>
      <c r="Q139" s="123"/>
      <c r="AJ139" s="122"/>
      <c r="AW139" s="122"/>
      <c r="AX139" s="122"/>
    </row>
    <row r="140" spans="1:50" ht="12" customHeight="1" x14ac:dyDescent="0.25">
      <c r="A140" s="123"/>
      <c r="B140" s="240"/>
      <c r="C140" s="123"/>
      <c r="D140" s="123"/>
      <c r="E140" s="123"/>
      <c r="F140" s="123"/>
      <c r="G140" s="123"/>
      <c r="H140" s="123"/>
      <c r="I140" s="123"/>
      <c r="J140" s="267"/>
      <c r="K140" s="232"/>
      <c r="L140" s="123"/>
      <c r="M140" s="259"/>
      <c r="N140" s="123"/>
      <c r="O140" s="123"/>
      <c r="P140" s="123"/>
      <c r="Q140" s="123"/>
      <c r="AJ140" s="122"/>
      <c r="AW140" s="122"/>
      <c r="AX140" s="122"/>
    </row>
    <row r="141" spans="1:50" ht="12" customHeight="1" x14ac:dyDescent="0.25">
      <c r="A141" s="123"/>
      <c r="B141" s="240"/>
      <c r="C141" s="123"/>
      <c r="D141" s="123"/>
      <c r="E141" s="123"/>
      <c r="F141" s="123"/>
      <c r="G141" s="123"/>
      <c r="H141" s="123"/>
      <c r="I141" s="123"/>
      <c r="J141" s="267"/>
      <c r="K141" s="232"/>
      <c r="L141" s="123"/>
      <c r="M141" s="259"/>
      <c r="N141" s="123"/>
      <c r="O141" s="123"/>
      <c r="P141" s="123"/>
      <c r="Q141" s="123"/>
      <c r="AJ141" s="122"/>
      <c r="AW141" s="122"/>
      <c r="AX141" s="122"/>
    </row>
    <row r="142" spans="1:50" ht="12" customHeight="1" x14ac:dyDescent="0.25">
      <c r="A142" s="123"/>
      <c r="B142" s="240"/>
      <c r="C142" s="123"/>
      <c r="D142" s="123"/>
      <c r="E142" s="123"/>
      <c r="F142" s="123"/>
      <c r="G142" s="123"/>
      <c r="H142" s="123"/>
      <c r="I142" s="123"/>
      <c r="J142" s="267"/>
      <c r="K142" s="232"/>
      <c r="L142" s="123"/>
      <c r="M142" s="259"/>
      <c r="N142" s="123"/>
      <c r="O142" s="123"/>
      <c r="P142" s="123"/>
      <c r="Q142" s="123"/>
      <c r="AJ142" s="122"/>
      <c r="AW142" s="122"/>
      <c r="AX142" s="122"/>
    </row>
    <row r="143" spans="1:50" ht="12" customHeight="1" x14ac:dyDescent="0.25">
      <c r="A143" s="123"/>
      <c r="B143" s="240"/>
      <c r="C143" s="123"/>
      <c r="D143" s="123"/>
      <c r="E143" s="123"/>
      <c r="F143" s="123"/>
      <c r="G143" s="123"/>
      <c r="H143" s="123"/>
      <c r="I143" s="123"/>
      <c r="J143" s="267"/>
      <c r="K143" s="232"/>
      <c r="L143" s="123"/>
      <c r="M143" s="259"/>
      <c r="N143" s="123"/>
      <c r="O143" s="123"/>
      <c r="P143" s="123"/>
      <c r="Q143" s="123"/>
      <c r="AJ143" s="122"/>
      <c r="AW143" s="122"/>
      <c r="AX143" s="122"/>
    </row>
    <row r="144" spans="1:50" ht="12" customHeight="1" x14ac:dyDescent="0.25">
      <c r="A144" s="123"/>
      <c r="B144" s="240"/>
      <c r="C144" s="123"/>
      <c r="D144" s="123"/>
      <c r="E144" s="123"/>
      <c r="F144" s="123"/>
      <c r="G144" s="123"/>
      <c r="H144" s="123"/>
      <c r="I144" s="123"/>
      <c r="J144" s="267"/>
      <c r="K144" s="232"/>
      <c r="L144" s="123"/>
      <c r="M144" s="259"/>
      <c r="N144" s="123"/>
      <c r="O144" s="123"/>
      <c r="P144" s="123"/>
      <c r="Q144" s="123"/>
      <c r="AJ144" s="122"/>
      <c r="AW144" s="122"/>
      <c r="AX144" s="122"/>
    </row>
    <row r="145" spans="1:50" ht="12" customHeight="1" x14ac:dyDescent="0.25">
      <c r="A145" s="123"/>
      <c r="B145" s="240"/>
      <c r="C145" s="123"/>
      <c r="D145" s="123"/>
      <c r="E145" s="123"/>
      <c r="F145" s="123"/>
      <c r="G145" s="123"/>
      <c r="H145" s="123"/>
      <c r="I145" s="123"/>
      <c r="J145" s="267"/>
      <c r="K145" s="232"/>
      <c r="L145" s="123"/>
      <c r="M145" s="259"/>
      <c r="N145" s="123"/>
      <c r="O145" s="123"/>
      <c r="P145" s="123"/>
      <c r="Q145" s="123"/>
      <c r="AJ145" s="122"/>
      <c r="AW145" s="122"/>
      <c r="AX145" s="122"/>
    </row>
    <row r="146" spans="1:50" ht="12" customHeight="1" x14ac:dyDescent="0.25">
      <c r="A146" s="123"/>
      <c r="B146" s="240"/>
      <c r="C146" s="123"/>
      <c r="D146" s="123"/>
      <c r="E146" s="123"/>
      <c r="F146" s="123"/>
      <c r="G146" s="123"/>
      <c r="H146" s="123"/>
      <c r="I146" s="123"/>
      <c r="J146" s="267"/>
      <c r="K146" s="232"/>
      <c r="L146" s="123"/>
      <c r="M146" s="259"/>
      <c r="N146" s="123"/>
      <c r="O146" s="123"/>
      <c r="P146" s="123"/>
      <c r="Q146" s="123"/>
      <c r="AJ146" s="122"/>
      <c r="AW146" s="122"/>
      <c r="AX146" s="122"/>
    </row>
    <row r="147" spans="1:50" ht="12" customHeight="1" x14ac:dyDescent="0.25">
      <c r="A147" s="123"/>
      <c r="B147" s="240"/>
      <c r="C147" s="123"/>
      <c r="D147" s="123"/>
      <c r="E147" s="123"/>
      <c r="F147" s="123"/>
      <c r="G147" s="123"/>
      <c r="H147" s="123"/>
      <c r="I147" s="123"/>
      <c r="J147" s="267"/>
      <c r="K147" s="232"/>
      <c r="L147" s="123"/>
      <c r="M147" s="259"/>
      <c r="N147" s="123"/>
      <c r="O147" s="123"/>
      <c r="P147" s="123"/>
      <c r="Q147" s="123"/>
      <c r="AJ147" s="122"/>
      <c r="AW147" s="122"/>
      <c r="AX147" s="122"/>
    </row>
    <row r="148" spans="1:50" ht="12" customHeight="1" x14ac:dyDescent="0.25">
      <c r="A148" s="123"/>
      <c r="B148" s="240"/>
      <c r="C148" s="123"/>
      <c r="D148" s="123"/>
      <c r="E148" s="123"/>
      <c r="F148" s="123"/>
      <c r="G148" s="123"/>
      <c r="H148" s="123"/>
      <c r="I148" s="123"/>
      <c r="J148" s="267"/>
      <c r="K148" s="232"/>
      <c r="L148" s="123"/>
      <c r="M148" s="259"/>
      <c r="N148" s="123"/>
      <c r="O148" s="123"/>
      <c r="P148" s="123"/>
      <c r="Q148" s="123"/>
      <c r="AJ148" s="122"/>
      <c r="AW148" s="122"/>
      <c r="AX148" s="122"/>
    </row>
    <row r="149" spans="1:50" ht="12" customHeight="1" x14ac:dyDescent="0.25">
      <c r="A149" s="123"/>
      <c r="B149" s="240"/>
      <c r="C149" s="123"/>
      <c r="D149" s="123"/>
      <c r="E149" s="123"/>
      <c r="F149" s="123"/>
      <c r="G149" s="123"/>
      <c r="H149" s="123"/>
      <c r="I149" s="123"/>
      <c r="J149" s="267"/>
      <c r="K149" s="232"/>
      <c r="L149" s="123"/>
      <c r="M149" s="259"/>
      <c r="N149" s="123"/>
      <c r="O149" s="123"/>
      <c r="P149" s="123"/>
      <c r="Q149" s="123"/>
      <c r="AJ149" s="122"/>
      <c r="AW149" s="122"/>
      <c r="AX149" s="122"/>
    </row>
    <row r="150" spans="1:50" ht="12" customHeight="1" x14ac:dyDescent="0.25">
      <c r="A150" s="123"/>
      <c r="B150" s="240"/>
      <c r="C150" s="123"/>
      <c r="D150" s="123"/>
      <c r="E150" s="123"/>
      <c r="F150" s="123"/>
      <c r="G150" s="123"/>
      <c r="H150" s="123"/>
      <c r="I150" s="123"/>
      <c r="J150" s="267"/>
      <c r="K150" s="232"/>
      <c r="L150" s="123"/>
      <c r="M150" s="259"/>
      <c r="N150" s="123"/>
      <c r="O150" s="123"/>
      <c r="P150" s="123"/>
      <c r="Q150" s="123"/>
      <c r="AJ150" s="122"/>
      <c r="AW150" s="122"/>
      <c r="AX150" s="122"/>
    </row>
    <row r="151" spans="1:50" ht="12" customHeight="1" x14ac:dyDescent="0.25">
      <c r="A151" s="123"/>
      <c r="B151" s="240"/>
      <c r="C151" s="123"/>
      <c r="D151" s="123"/>
      <c r="E151" s="123"/>
      <c r="F151" s="123"/>
      <c r="G151" s="123"/>
      <c r="H151" s="123"/>
      <c r="I151" s="123"/>
      <c r="J151" s="267"/>
      <c r="K151" s="232"/>
      <c r="L151" s="123"/>
      <c r="M151" s="259"/>
      <c r="N151" s="123"/>
      <c r="O151" s="123"/>
      <c r="P151" s="123"/>
      <c r="Q151" s="123"/>
      <c r="AJ151" s="122"/>
      <c r="AW151" s="122"/>
      <c r="AX151" s="122"/>
    </row>
    <row r="152" spans="1:50" ht="12" customHeight="1" x14ac:dyDescent="0.25">
      <c r="A152" s="123"/>
      <c r="B152" s="240"/>
      <c r="C152" s="123"/>
      <c r="D152" s="123"/>
      <c r="E152" s="123"/>
      <c r="F152" s="123"/>
      <c r="G152" s="123"/>
      <c r="H152" s="123"/>
      <c r="I152" s="123"/>
      <c r="J152" s="267"/>
      <c r="K152" s="232"/>
      <c r="L152" s="123"/>
      <c r="M152" s="259"/>
      <c r="N152" s="123"/>
      <c r="O152" s="123"/>
      <c r="P152" s="123"/>
      <c r="Q152" s="123"/>
      <c r="AJ152" s="122"/>
      <c r="AW152" s="122"/>
      <c r="AX152" s="122"/>
    </row>
    <row r="153" spans="1:50" ht="12" customHeight="1" x14ac:dyDescent="0.25">
      <c r="A153" s="123"/>
      <c r="B153" s="240"/>
      <c r="C153" s="123"/>
      <c r="D153" s="123"/>
      <c r="E153" s="123"/>
      <c r="F153" s="123"/>
      <c r="G153" s="123"/>
      <c r="H153" s="123"/>
      <c r="I153" s="123"/>
      <c r="J153" s="267"/>
      <c r="K153" s="232"/>
      <c r="L153" s="123"/>
      <c r="M153" s="259"/>
      <c r="N153" s="123"/>
      <c r="O153" s="123"/>
      <c r="P153" s="123"/>
      <c r="Q153" s="123"/>
      <c r="AJ153" s="122"/>
      <c r="AW153" s="122"/>
      <c r="AX153" s="122"/>
    </row>
    <row r="154" spans="1:50" ht="12" customHeight="1" x14ac:dyDescent="0.25">
      <c r="A154" s="123"/>
      <c r="B154" s="240"/>
      <c r="C154" s="123"/>
      <c r="D154" s="123"/>
      <c r="E154" s="123"/>
      <c r="F154" s="123"/>
      <c r="G154" s="123"/>
      <c r="H154" s="123"/>
      <c r="I154" s="123"/>
      <c r="J154" s="267"/>
      <c r="K154" s="232"/>
      <c r="L154" s="123"/>
      <c r="M154" s="259"/>
      <c r="N154" s="123"/>
      <c r="O154" s="123"/>
      <c r="P154" s="123"/>
      <c r="Q154" s="123"/>
      <c r="AJ154" s="122"/>
      <c r="AW154" s="122"/>
      <c r="AX154" s="122"/>
    </row>
    <row r="155" spans="1:50" ht="12" customHeight="1" x14ac:dyDescent="0.25">
      <c r="A155" s="123"/>
      <c r="B155" s="240"/>
      <c r="C155" s="123"/>
      <c r="D155" s="123"/>
      <c r="E155" s="123"/>
      <c r="F155" s="123"/>
      <c r="G155" s="123"/>
      <c r="H155" s="123"/>
      <c r="I155" s="123"/>
      <c r="J155" s="267"/>
      <c r="K155" s="232"/>
      <c r="L155" s="123"/>
      <c r="M155" s="259"/>
      <c r="N155" s="123"/>
      <c r="O155" s="123"/>
      <c r="P155" s="123"/>
      <c r="Q155" s="123"/>
      <c r="AJ155" s="122"/>
      <c r="AW155" s="122"/>
      <c r="AX155" s="122"/>
    </row>
    <row r="156" spans="1:50" ht="12" customHeight="1" x14ac:dyDescent="0.25">
      <c r="A156" s="123"/>
      <c r="B156" s="240"/>
      <c r="C156" s="123"/>
      <c r="D156" s="123"/>
      <c r="E156" s="123"/>
      <c r="F156" s="123"/>
      <c r="G156" s="123"/>
      <c r="H156" s="123"/>
      <c r="I156" s="123"/>
      <c r="J156" s="267"/>
      <c r="K156" s="232"/>
      <c r="L156" s="123"/>
      <c r="M156" s="259"/>
      <c r="N156" s="123"/>
      <c r="O156" s="123"/>
      <c r="P156" s="123"/>
      <c r="Q156" s="123"/>
      <c r="AJ156" s="122"/>
      <c r="AW156" s="122"/>
      <c r="AX156" s="122"/>
    </row>
    <row r="157" spans="1:50" ht="12" customHeight="1" x14ac:dyDescent="0.25">
      <c r="A157" s="123"/>
      <c r="B157" s="240"/>
      <c r="C157" s="123"/>
      <c r="D157" s="123"/>
      <c r="E157" s="123"/>
      <c r="F157" s="123"/>
      <c r="G157" s="123"/>
      <c r="H157" s="123"/>
      <c r="I157" s="123"/>
      <c r="J157" s="267"/>
      <c r="K157" s="232"/>
      <c r="L157" s="123"/>
      <c r="M157" s="259"/>
      <c r="N157" s="123"/>
      <c r="O157" s="123"/>
      <c r="P157" s="123"/>
      <c r="Q157" s="123"/>
      <c r="AJ157" s="122"/>
      <c r="AW157" s="122"/>
      <c r="AX157" s="122"/>
    </row>
    <row r="158" spans="1:50" ht="12" customHeight="1" x14ac:dyDescent="0.25">
      <c r="A158" s="123"/>
      <c r="B158" s="240"/>
      <c r="C158" s="123"/>
      <c r="D158" s="123"/>
      <c r="E158" s="123"/>
      <c r="F158" s="123"/>
      <c r="G158" s="123"/>
      <c r="H158" s="123"/>
      <c r="I158" s="123"/>
      <c r="J158" s="267"/>
      <c r="K158" s="232"/>
      <c r="L158" s="123"/>
      <c r="M158" s="259"/>
      <c r="N158" s="123"/>
      <c r="O158" s="123"/>
      <c r="P158" s="123"/>
      <c r="Q158" s="123"/>
      <c r="AJ158" s="122"/>
      <c r="AW158" s="122"/>
      <c r="AX158" s="122"/>
    </row>
    <row r="159" spans="1:50" ht="12" customHeight="1" x14ac:dyDescent="0.25">
      <c r="A159" s="123"/>
      <c r="B159" s="240"/>
      <c r="C159" s="123"/>
      <c r="D159" s="123"/>
      <c r="E159" s="123"/>
      <c r="F159" s="123"/>
      <c r="G159" s="123"/>
      <c r="H159" s="123"/>
      <c r="I159" s="123"/>
      <c r="J159" s="267"/>
      <c r="K159" s="232"/>
      <c r="L159" s="123"/>
      <c r="M159" s="259"/>
      <c r="N159" s="123"/>
      <c r="O159" s="123"/>
      <c r="P159" s="123"/>
      <c r="Q159" s="123"/>
      <c r="AJ159" s="122"/>
      <c r="AW159" s="122"/>
      <c r="AX159" s="122"/>
    </row>
    <row r="160" spans="1:50" ht="12" customHeight="1" x14ac:dyDescent="0.25">
      <c r="A160" s="123"/>
      <c r="B160" s="240"/>
      <c r="C160" s="123"/>
      <c r="D160" s="123"/>
      <c r="E160" s="123"/>
      <c r="F160" s="123"/>
      <c r="G160" s="123"/>
      <c r="H160" s="123"/>
      <c r="I160" s="123"/>
      <c r="J160" s="267"/>
      <c r="K160" s="232"/>
      <c r="L160" s="123"/>
      <c r="M160" s="259"/>
      <c r="N160" s="123"/>
      <c r="O160" s="123"/>
      <c r="P160" s="123"/>
      <c r="Q160" s="123"/>
      <c r="AJ160" s="122"/>
      <c r="AW160" s="122"/>
      <c r="AX160" s="122"/>
    </row>
    <row r="161" spans="1:50" ht="12" customHeight="1" x14ac:dyDescent="0.25">
      <c r="A161" s="123"/>
      <c r="B161" s="240"/>
      <c r="C161" s="123"/>
      <c r="D161" s="123"/>
      <c r="E161" s="123"/>
      <c r="F161" s="123"/>
      <c r="G161" s="123"/>
      <c r="H161" s="123"/>
      <c r="I161" s="123"/>
      <c r="J161" s="267"/>
      <c r="K161" s="232"/>
      <c r="L161" s="123"/>
      <c r="M161" s="259"/>
      <c r="N161" s="123"/>
      <c r="O161" s="123"/>
      <c r="P161" s="123"/>
      <c r="Q161" s="123"/>
      <c r="AJ161" s="122"/>
      <c r="AW161" s="122"/>
      <c r="AX161" s="122"/>
    </row>
    <row r="162" spans="1:50" ht="12" customHeight="1" x14ac:dyDescent="0.25">
      <c r="A162" s="123"/>
      <c r="B162" s="240"/>
      <c r="C162" s="123"/>
      <c r="D162" s="123"/>
      <c r="E162" s="123"/>
      <c r="F162" s="123"/>
      <c r="G162" s="123"/>
      <c r="H162" s="123"/>
      <c r="I162" s="123"/>
      <c r="J162" s="267"/>
      <c r="K162" s="232"/>
      <c r="L162" s="123"/>
      <c r="M162" s="259"/>
      <c r="N162" s="123"/>
      <c r="O162" s="123"/>
      <c r="P162" s="123"/>
      <c r="Q162" s="123"/>
      <c r="AJ162" s="122"/>
      <c r="AW162" s="122"/>
      <c r="AX162" s="122"/>
    </row>
    <row r="163" spans="1:50" ht="12" customHeight="1" x14ac:dyDescent="0.25">
      <c r="A163" s="123"/>
      <c r="B163" s="240"/>
      <c r="C163" s="123"/>
      <c r="D163" s="123"/>
      <c r="E163" s="123"/>
      <c r="F163" s="123"/>
      <c r="G163" s="123"/>
      <c r="H163" s="123"/>
      <c r="I163" s="123"/>
      <c r="J163" s="267"/>
      <c r="K163" s="232"/>
      <c r="L163" s="123"/>
      <c r="M163" s="259"/>
      <c r="N163" s="123"/>
      <c r="O163" s="123"/>
      <c r="P163" s="123"/>
      <c r="Q163" s="123"/>
      <c r="AJ163" s="122"/>
      <c r="AW163" s="122"/>
      <c r="AX163" s="122"/>
    </row>
    <row r="164" spans="1:50" ht="12" customHeight="1" x14ac:dyDescent="0.25">
      <c r="A164" s="123"/>
      <c r="B164" s="240"/>
      <c r="C164" s="123"/>
      <c r="D164" s="123"/>
      <c r="E164" s="123"/>
      <c r="F164" s="123"/>
      <c r="G164" s="123"/>
      <c r="H164" s="123"/>
      <c r="I164" s="123"/>
      <c r="J164" s="267"/>
      <c r="K164" s="232"/>
      <c r="L164" s="123"/>
      <c r="M164" s="259"/>
      <c r="N164" s="123"/>
      <c r="O164" s="123"/>
      <c r="P164" s="123"/>
      <c r="Q164" s="123"/>
      <c r="AJ164" s="122"/>
      <c r="AW164" s="122"/>
      <c r="AX164" s="122"/>
    </row>
    <row r="165" spans="1:50" ht="12" customHeight="1" x14ac:dyDescent="0.25">
      <c r="A165" s="123"/>
      <c r="B165" s="240"/>
      <c r="C165" s="123"/>
      <c r="D165" s="123"/>
      <c r="E165" s="123"/>
      <c r="F165" s="123"/>
      <c r="G165" s="123"/>
      <c r="H165" s="123"/>
      <c r="I165" s="123"/>
      <c r="J165" s="267"/>
      <c r="K165" s="232"/>
      <c r="L165" s="123"/>
      <c r="M165" s="259"/>
      <c r="N165" s="123"/>
      <c r="O165" s="123"/>
      <c r="P165" s="123"/>
      <c r="Q165" s="123"/>
      <c r="AJ165" s="122"/>
      <c r="AW165" s="122"/>
      <c r="AX165" s="122"/>
    </row>
    <row r="166" spans="1:50" ht="12" customHeight="1" x14ac:dyDescent="0.25">
      <c r="A166" s="123"/>
      <c r="B166" s="240"/>
      <c r="C166" s="123"/>
      <c r="D166" s="123"/>
      <c r="E166" s="123"/>
      <c r="F166" s="123"/>
      <c r="G166" s="123"/>
      <c r="H166" s="123"/>
      <c r="I166" s="123"/>
      <c r="J166" s="267"/>
      <c r="K166" s="232"/>
      <c r="L166" s="123"/>
      <c r="M166" s="259"/>
      <c r="N166" s="123"/>
      <c r="O166" s="123"/>
      <c r="P166" s="123"/>
      <c r="Q166" s="123"/>
      <c r="AJ166" s="122"/>
      <c r="AW166" s="122"/>
      <c r="AX166" s="122"/>
    </row>
    <row r="167" spans="1:50" ht="12" customHeight="1" x14ac:dyDescent="0.25">
      <c r="A167" s="123"/>
      <c r="B167" s="240"/>
      <c r="C167" s="123"/>
      <c r="D167" s="123"/>
      <c r="E167" s="123"/>
      <c r="F167" s="123"/>
      <c r="G167" s="123"/>
      <c r="H167" s="123"/>
      <c r="I167" s="123"/>
      <c r="J167" s="267"/>
      <c r="K167" s="232"/>
      <c r="L167" s="123"/>
      <c r="M167" s="259"/>
      <c r="N167" s="123"/>
      <c r="O167" s="123"/>
      <c r="P167" s="123"/>
      <c r="Q167" s="123"/>
      <c r="AJ167" s="122"/>
      <c r="AW167" s="122"/>
      <c r="AX167" s="122"/>
    </row>
    <row r="168" spans="1:50" ht="12" customHeight="1" x14ac:dyDescent="0.25">
      <c r="A168" s="123"/>
      <c r="B168" s="240"/>
      <c r="C168" s="123"/>
      <c r="D168" s="123"/>
      <c r="E168" s="123"/>
      <c r="F168" s="123"/>
      <c r="G168" s="123"/>
      <c r="H168" s="123"/>
      <c r="I168" s="123"/>
      <c r="J168" s="267"/>
      <c r="K168" s="232"/>
      <c r="L168" s="123"/>
      <c r="M168" s="259"/>
      <c r="N168" s="123"/>
      <c r="O168" s="123"/>
      <c r="P168" s="123"/>
      <c r="Q168" s="123"/>
      <c r="AJ168" s="122"/>
      <c r="AW168" s="122"/>
      <c r="AX168" s="122"/>
    </row>
    <row r="169" spans="1:50" ht="12" customHeight="1" x14ac:dyDescent="0.25">
      <c r="A169" s="123"/>
      <c r="B169" s="240"/>
      <c r="C169" s="123"/>
      <c r="D169" s="123"/>
      <c r="E169" s="123"/>
      <c r="F169" s="123"/>
      <c r="G169" s="123"/>
      <c r="H169" s="123"/>
      <c r="I169" s="123"/>
      <c r="J169" s="267"/>
      <c r="K169" s="232"/>
      <c r="L169" s="123"/>
      <c r="M169" s="259"/>
      <c r="N169" s="123"/>
      <c r="O169" s="123"/>
      <c r="P169" s="123"/>
      <c r="Q169" s="123"/>
      <c r="AJ169" s="122"/>
      <c r="AW169" s="122"/>
      <c r="AX169" s="122"/>
    </row>
    <row r="170" spans="1:50" ht="12" customHeight="1" x14ac:dyDescent="0.25">
      <c r="A170" s="123"/>
      <c r="B170" s="240"/>
      <c r="C170" s="123"/>
      <c r="D170" s="123"/>
      <c r="E170" s="123"/>
      <c r="F170" s="123"/>
      <c r="G170" s="123"/>
      <c r="H170" s="123"/>
      <c r="I170" s="123"/>
      <c r="J170" s="267"/>
      <c r="K170" s="232"/>
      <c r="L170" s="123"/>
      <c r="M170" s="259"/>
      <c r="N170" s="123"/>
      <c r="O170" s="123"/>
      <c r="P170" s="123"/>
      <c r="Q170" s="123"/>
      <c r="AJ170" s="122"/>
      <c r="AW170" s="122"/>
      <c r="AX170" s="122"/>
    </row>
    <row r="171" spans="1:50" ht="12" customHeight="1" x14ac:dyDescent="0.25">
      <c r="A171" s="123"/>
      <c r="B171" s="240"/>
      <c r="C171" s="123"/>
      <c r="D171" s="123"/>
      <c r="E171" s="123"/>
      <c r="F171" s="123"/>
      <c r="G171" s="123"/>
      <c r="H171" s="123"/>
      <c r="I171" s="123"/>
      <c r="J171" s="267"/>
      <c r="K171" s="232"/>
      <c r="L171" s="123"/>
      <c r="M171" s="259"/>
      <c r="N171" s="123"/>
      <c r="O171" s="123"/>
      <c r="P171" s="123"/>
      <c r="Q171" s="123"/>
      <c r="AJ171" s="122"/>
      <c r="AW171" s="122"/>
      <c r="AX171" s="122"/>
    </row>
    <row r="172" spans="1:50" ht="12" customHeight="1" x14ac:dyDescent="0.25">
      <c r="A172" s="123"/>
      <c r="B172" s="240"/>
      <c r="C172" s="123"/>
      <c r="D172" s="123"/>
      <c r="E172" s="123"/>
      <c r="F172" s="123"/>
      <c r="G172" s="123"/>
      <c r="H172" s="123"/>
      <c r="I172" s="123"/>
      <c r="J172" s="267"/>
      <c r="K172" s="232"/>
      <c r="L172" s="123"/>
      <c r="M172" s="259"/>
      <c r="N172" s="123"/>
      <c r="O172" s="123"/>
      <c r="P172" s="123"/>
      <c r="Q172" s="123"/>
      <c r="AJ172" s="122"/>
      <c r="AW172" s="122"/>
      <c r="AX172" s="122"/>
    </row>
    <row r="173" spans="1:50" ht="12" customHeight="1" x14ac:dyDescent="0.25">
      <c r="A173" s="123"/>
      <c r="B173" s="240"/>
      <c r="C173" s="123"/>
      <c r="D173" s="123"/>
      <c r="E173" s="123"/>
      <c r="F173" s="123"/>
      <c r="G173" s="123"/>
      <c r="H173" s="123"/>
      <c r="I173" s="123"/>
      <c r="J173" s="267"/>
      <c r="K173" s="232"/>
      <c r="L173" s="123"/>
      <c r="M173" s="259"/>
      <c r="N173" s="123"/>
      <c r="O173" s="123"/>
      <c r="P173" s="123"/>
      <c r="Q173" s="123"/>
      <c r="AJ173" s="122"/>
      <c r="AW173" s="122"/>
      <c r="AX173" s="122"/>
    </row>
    <row r="174" spans="1:50" ht="12" customHeight="1" x14ac:dyDescent="0.25">
      <c r="A174" s="123"/>
      <c r="B174" s="240"/>
      <c r="C174" s="123"/>
      <c r="D174" s="123"/>
      <c r="E174" s="123"/>
      <c r="F174" s="123"/>
      <c r="G174" s="123"/>
      <c r="H174" s="123"/>
      <c r="I174" s="123"/>
      <c r="J174" s="267"/>
      <c r="K174" s="232"/>
      <c r="L174" s="123"/>
      <c r="M174" s="259"/>
      <c r="N174" s="123"/>
      <c r="O174" s="123"/>
      <c r="P174" s="123"/>
      <c r="Q174" s="123"/>
      <c r="AJ174" s="122"/>
      <c r="AW174" s="122"/>
      <c r="AX174" s="122"/>
    </row>
    <row r="175" spans="1:50" ht="12" customHeight="1" x14ac:dyDescent="0.25">
      <c r="A175" s="123"/>
      <c r="B175" s="240"/>
      <c r="C175" s="123"/>
      <c r="D175" s="123"/>
      <c r="E175" s="123"/>
      <c r="F175" s="123"/>
      <c r="G175" s="123"/>
      <c r="H175" s="123"/>
      <c r="I175" s="123"/>
      <c r="J175" s="267"/>
      <c r="K175" s="232"/>
      <c r="L175" s="123"/>
      <c r="M175" s="259"/>
      <c r="N175" s="123"/>
      <c r="O175" s="123"/>
      <c r="P175" s="123"/>
      <c r="Q175" s="123"/>
      <c r="AJ175" s="122"/>
      <c r="AW175" s="122"/>
      <c r="AX175" s="122"/>
    </row>
    <row r="176" spans="1:50" ht="10.5" customHeight="1" x14ac:dyDescent="0.25">
      <c r="A176" s="123"/>
      <c r="B176" s="240"/>
      <c r="C176" s="123"/>
      <c r="D176" s="123"/>
      <c r="E176" s="123"/>
      <c r="F176" s="123"/>
      <c r="G176" s="123"/>
      <c r="H176" s="123"/>
      <c r="I176" s="123"/>
      <c r="J176" s="267"/>
      <c r="K176" s="232"/>
      <c r="L176" s="123"/>
      <c r="M176" s="259"/>
      <c r="N176" s="123"/>
      <c r="O176" s="123"/>
      <c r="P176" s="123"/>
      <c r="Q176" s="123"/>
      <c r="AJ176" s="122"/>
      <c r="AW176" s="122"/>
      <c r="AX176" s="122"/>
    </row>
    <row r="177" spans="1:50" ht="12" customHeight="1" x14ac:dyDescent="0.25">
      <c r="A177" s="123"/>
      <c r="B177" s="240"/>
      <c r="C177" s="123"/>
      <c r="D177" s="123"/>
      <c r="E177" s="123"/>
      <c r="F177" s="123"/>
      <c r="G177" s="123"/>
      <c r="H177" s="123"/>
      <c r="I177" s="123"/>
      <c r="J177" s="267"/>
      <c r="K177" s="232"/>
      <c r="L177" s="123"/>
      <c r="M177" s="259"/>
      <c r="N177" s="123"/>
      <c r="O177" s="123"/>
      <c r="P177" s="123"/>
      <c r="Q177" s="123"/>
      <c r="AJ177" s="122"/>
      <c r="AW177" s="122"/>
      <c r="AX177" s="122"/>
    </row>
    <row r="178" spans="1:50" ht="12" customHeight="1" x14ac:dyDescent="0.25">
      <c r="A178" s="123"/>
      <c r="B178" s="240"/>
      <c r="C178" s="123"/>
      <c r="D178" s="123"/>
      <c r="E178" s="123"/>
      <c r="F178" s="123"/>
      <c r="G178" s="123"/>
      <c r="H178" s="123"/>
      <c r="I178" s="123"/>
      <c r="J178" s="267"/>
      <c r="K178" s="232"/>
      <c r="L178" s="123"/>
      <c r="M178" s="259"/>
      <c r="N178" s="123"/>
      <c r="O178" s="123"/>
      <c r="P178" s="123"/>
      <c r="Q178" s="123"/>
      <c r="AJ178" s="122"/>
      <c r="AW178" s="122"/>
      <c r="AX178" s="122"/>
    </row>
    <row r="179" spans="1:50" ht="12" customHeight="1" x14ac:dyDescent="0.25">
      <c r="A179" s="123"/>
      <c r="B179" s="240"/>
      <c r="C179" s="123"/>
      <c r="D179" s="123"/>
      <c r="E179" s="123"/>
      <c r="F179" s="123"/>
      <c r="G179" s="123"/>
      <c r="H179" s="123"/>
      <c r="I179" s="123"/>
      <c r="J179" s="267"/>
      <c r="K179" s="232"/>
      <c r="L179" s="123"/>
      <c r="M179" s="259"/>
      <c r="N179" s="123"/>
      <c r="O179" s="123"/>
      <c r="P179" s="123"/>
      <c r="Q179" s="123"/>
      <c r="AJ179" s="122"/>
      <c r="AW179" s="122"/>
      <c r="AX179" s="122"/>
    </row>
    <row r="180" spans="1:50" ht="12" customHeight="1" x14ac:dyDescent="0.25">
      <c r="A180" s="123"/>
      <c r="B180" s="240"/>
      <c r="C180" s="123"/>
      <c r="D180" s="123"/>
      <c r="E180" s="123"/>
      <c r="F180" s="123"/>
      <c r="G180" s="123"/>
      <c r="H180" s="123"/>
      <c r="I180" s="123"/>
      <c r="J180" s="267"/>
      <c r="K180" s="232"/>
      <c r="L180" s="123"/>
      <c r="M180" s="259"/>
      <c r="N180" s="123"/>
      <c r="O180" s="123"/>
      <c r="P180" s="123"/>
      <c r="Q180" s="123"/>
      <c r="AJ180" s="122"/>
      <c r="AW180" s="122"/>
      <c r="AX180" s="122"/>
    </row>
    <row r="181" spans="1:50" ht="12" customHeight="1" x14ac:dyDescent="0.25">
      <c r="A181" s="123"/>
      <c r="B181" s="240"/>
      <c r="C181" s="123"/>
      <c r="D181" s="123"/>
      <c r="E181" s="123"/>
      <c r="F181" s="123"/>
      <c r="G181" s="123"/>
      <c r="H181" s="123"/>
      <c r="I181" s="123"/>
      <c r="J181" s="267"/>
      <c r="K181" s="232"/>
      <c r="L181" s="123"/>
      <c r="M181" s="259"/>
      <c r="N181" s="123"/>
      <c r="O181" s="123"/>
      <c r="P181" s="123"/>
      <c r="Q181" s="123"/>
      <c r="AJ181" s="122"/>
      <c r="AW181" s="122"/>
      <c r="AX181" s="122"/>
    </row>
    <row r="182" spans="1:50" ht="12" customHeight="1" x14ac:dyDescent="0.25">
      <c r="A182" s="123"/>
      <c r="B182" s="240"/>
      <c r="C182" s="123"/>
      <c r="D182" s="123"/>
      <c r="E182" s="123"/>
      <c r="F182" s="123"/>
      <c r="G182" s="123"/>
      <c r="H182" s="123"/>
      <c r="I182" s="123"/>
      <c r="J182" s="267"/>
      <c r="K182" s="232"/>
      <c r="L182" s="123"/>
      <c r="M182" s="259"/>
      <c r="N182" s="123"/>
      <c r="O182" s="123"/>
      <c r="P182" s="123"/>
      <c r="Q182" s="123"/>
      <c r="AJ182" s="122"/>
      <c r="AW182" s="122"/>
      <c r="AX182" s="122"/>
    </row>
    <row r="183" spans="1:50" ht="12" customHeight="1" x14ac:dyDescent="0.25">
      <c r="A183" s="123"/>
      <c r="B183" s="240"/>
      <c r="C183" s="123"/>
      <c r="D183" s="123"/>
      <c r="E183" s="123"/>
      <c r="F183" s="123"/>
      <c r="G183" s="123"/>
      <c r="H183" s="123"/>
      <c r="I183" s="123"/>
      <c r="J183" s="267"/>
      <c r="K183" s="232"/>
      <c r="L183" s="123"/>
      <c r="M183" s="259"/>
      <c r="N183" s="123"/>
      <c r="O183" s="123"/>
      <c r="P183" s="123"/>
      <c r="Q183" s="123"/>
      <c r="AJ183" s="122"/>
      <c r="AW183" s="122"/>
      <c r="AX183" s="122"/>
    </row>
    <row r="184" spans="1:50" ht="12" customHeight="1" x14ac:dyDescent="0.25">
      <c r="A184" s="123"/>
      <c r="B184" s="240"/>
      <c r="C184" s="123"/>
      <c r="D184" s="123"/>
      <c r="E184" s="123"/>
      <c r="F184" s="123"/>
      <c r="G184" s="123"/>
      <c r="H184" s="123"/>
      <c r="I184" s="123"/>
      <c r="J184" s="267"/>
      <c r="K184" s="232"/>
      <c r="L184" s="123"/>
      <c r="M184" s="259"/>
      <c r="N184" s="123"/>
      <c r="O184" s="123"/>
      <c r="P184" s="123"/>
      <c r="Q184" s="123"/>
      <c r="AJ184" s="122"/>
      <c r="AW184" s="122"/>
      <c r="AX184" s="122"/>
    </row>
    <row r="185" spans="1:50" ht="12" customHeight="1" x14ac:dyDescent="0.25">
      <c r="A185" s="123"/>
      <c r="B185" s="240"/>
      <c r="C185" s="123"/>
      <c r="D185" s="123"/>
      <c r="E185" s="123"/>
      <c r="F185" s="123"/>
      <c r="G185" s="123"/>
      <c r="H185" s="123"/>
      <c r="I185" s="123"/>
      <c r="J185" s="267"/>
      <c r="K185" s="232"/>
      <c r="L185" s="123"/>
      <c r="M185" s="259"/>
      <c r="N185" s="123"/>
      <c r="O185" s="123"/>
      <c r="P185" s="123"/>
      <c r="Q185" s="123"/>
      <c r="AJ185" s="122"/>
      <c r="AW185" s="122"/>
      <c r="AX185" s="122"/>
    </row>
    <row r="186" spans="1:50" ht="12" customHeight="1" x14ac:dyDescent="0.25">
      <c r="A186" s="123"/>
      <c r="B186" s="240"/>
      <c r="C186" s="123"/>
      <c r="D186" s="123"/>
      <c r="E186" s="123"/>
      <c r="F186" s="123"/>
      <c r="G186" s="123"/>
      <c r="H186" s="123"/>
      <c r="I186" s="123"/>
      <c r="J186" s="267"/>
      <c r="K186" s="232"/>
      <c r="L186" s="123"/>
      <c r="M186" s="259"/>
      <c r="N186" s="123"/>
      <c r="O186" s="123"/>
      <c r="P186" s="123"/>
      <c r="Q186" s="123"/>
      <c r="AJ186" s="122"/>
      <c r="AW186" s="122"/>
      <c r="AX186" s="122"/>
    </row>
    <row r="187" spans="1:50" ht="12" customHeight="1" x14ac:dyDescent="0.25">
      <c r="A187" s="123"/>
      <c r="B187" s="240"/>
      <c r="C187" s="123"/>
      <c r="D187" s="123"/>
      <c r="E187" s="123"/>
      <c r="F187" s="123"/>
      <c r="G187" s="123"/>
      <c r="H187" s="123"/>
      <c r="I187" s="123"/>
      <c r="J187" s="267"/>
      <c r="K187" s="232"/>
      <c r="L187" s="123"/>
      <c r="M187" s="259"/>
      <c r="N187" s="123"/>
      <c r="O187" s="123"/>
      <c r="P187" s="123"/>
      <c r="Q187" s="123"/>
      <c r="AJ187" s="122"/>
      <c r="AW187" s="122"/>
      <c r="AX187" s="122"/>
    </row>
    <row r="188" spans="1:50" ht="12" customHeight="1" x14ac:dyDescent="0.25">
      <c r="A188" s="123"/>
      <c r="B188" s="240"/>
      <c r="C188" s="123"/>
      <c r="D188" s="123"/>
      <c r="E188" s="123"/>
      <c r="F188" s="123"/>
      <c r="G188" s="123"/>
      <c r="H188" s="123"/>
      <c r="I188" s="123"/>
      <c r="J188" s="267"/>
      <c r="K188" s="232"/>
      <c r="L188" s="123"/>
      <c r="M188" s="259"/>
      <c r="N188" s="123"/>
      <c r="O188" s="123"/>
      <c r="P188" s="123"/>
      <c r="Q188" s="123"/>
      <c r="AJ188" s="122"/>
      <c r="AW188" s="122"/>
      <c r="AX188" s="122"/>
    </row>
    <row r="189" spans="1:50" ht="12" customHeight="1" x14ac:dyDescent="0.25">
      <c r="A189" s="123"/>
      <c r="B189" s="240"/>
      <c r="C189" s="123"/>
      <c r="D189" s="123"/>
      <c r="E189" s="123"/>
      <c r="F189" s="123"/>
      <c r="G189" s="123"/>
      <c r="H189" s="123"/>
      <c r="I189" s="123"/>
      <c r="J189" s="267"/>
      <c r="K189" s="232"/>
      <c r="L189" s="123"/>
      <c r="M189" s="259"/>
      <c r="N189" s="123"/>
      <c r="O189" s="123"/>
      <c r="P189" s="123"/>
      <c r="Q189" s="123"/>
      <c r="AJ189" s="122"/>
      <c r="AW189" s="122"/>
      <c r="AX189" s="122"/>
    </row>
    <row r="190" spans="1:50" ht="12" customHeight="1" x14ac:dyDescent="0.25">
      <c r="A190" s="123"/>
      <c r="B190" s="240"/>
      <c r="C190" s="123"/>
      <c r="D190" s="123"/>
      <c r="E190" s="123"/>
      <c r="F190" s="123"/>
      <c r="G190" s="123"/>
      <c r="H190" s="123"/>
      <c r="I190" s="123"/>
      <c r="J190" s="267"/>
      <c r="K190" s="232"/>
      <c r="L190" s="123"/>
      <c r="M190" s="259"/>
      <c r="N190" s="123"/>
      <c r="O190" s="123"/>
      <c r="P190" s="123"/>
      <c r="Q190" s="123"/>
      <c r="AJ190" s="122"/>
      <c r="AW190" s="122"/>
      <c r="AX190" s="122"/>
    </row>
    <row r="191" spans="1:50" ht="12" customHeight="1" x14ac:dyDescent="0.25">
      <c r="A191" s="123"/>
      <c r="B191" s="240"/>
      <c r="C191" s="123"/>
      <c r="D191" s="123"/>
      <c r="E191" s="123"/>
      <c r="F191" s="123"/>
      <c r="G191" s="123"/>
      <c r="H191" s="123"/>
      <c r="I191" s="123"/>
      <c r="J191" s="267"/>
      <c r="K191" s="232"/>
      <c r="L191" s="123"/>
      <c r="M191" s="259"/>
      <c r="N191" s="123"/>
      <c r="O191" s="123"/>
      <c r="P191" s="123"/>
      <c r="Q191" s="123"/>
      <c r="AJ191" s="122"/>
      <c r="AW191" s="122"/>
      <c r="AX191" s="122"/>
    </row>
    <row r="192" spans="1:50" ht="12" customHeight="1" x14ac:dyDescent="0.25">
      <c r="A192" s="123"/>
      <c r="B192" s="240"/>
      <c r="C192" s="123"/>
      <c r="D192" s="123"/>
      <c r="E192" s="123"/>
      <c r="F192" s="123"/>
      <c r="G192" s="123"/>
      <c r="H192" s="123"/>
      <c r="I192" s="123"/>
      <c r="J192" s="267"/>
      <c r="K192" s="232"/>
      <c r="L192" s="123"/>
      <c r="M192" s="259"/>
      <c r="N192" s="123"/>
      <c r="O192" s="123"/>
      <c r="P192" s="123"/>
      <c r="Q192" s="123"/>
      <c r="AJ192" s="122"/>
      <c r="AW192" s="122"/>
      <c r="AX192" s="122"/>
    </row>
    <row r="193" spans="1:50" ht="12" customHeight="1" x14ac:dyDescent="0.25">
      <c r="A193" s="123"/>
      <c r="B193" s="240"/>
      <c r="C193" s="123"/>
      <c r="D193" s="123"/>
      <c r="E193" s="123"/>
      <c r="F193" s="123"/>
      <c r="G193" s="123"/>
      <c r="H193" s="123"/>
      <c r="I193" s="123"/>
      <c r="J193" s="267"/>
      <c r="K193" s="232"/>
      <c r="L193" s="123"/>
      <c r="M193" s="259"/>
      <c r="N193" s="123"/>
      <c r="O193" s="123"/>
      <c r="P193" s="123"/>
      <c r="Q193" s="123"/>
      <c r="AJ193" s="122"/>
      <c r="AW193" s="122"/>
      <c r="AX193" s="122"/>
    </row>
    <row r="194" spans="1:50" ht="12" customHeight="1" x14ac:dyDescent="0.25">
      <c r="A194" s="123"/>
      <c r="B194" s="240"/>
      <c r="C194" s="123"/>
      <c r="D194" s="123"/>
      <c r="E194" s="123"/>
      <c r="F194" s="123"/>
      <c r="G194" s="123"/>
      <c r="H194" s="123"/>
      <c r="I194" s="123"/>
      <c r="J194" s="267"/>
      <c r="K194" s="232"/>
      <c r="L194" s="123"/>
      <c r="M194" s="259"/>
      <c r="N194" s="123"/>
      <c r="O194" s="123"/>
      <c r="P194" s="123"/>
      <c r="Q194" s="123"/>
      <c r="AJ194" s="122"/>
      <c r="AW194" s="122"/>
      <c r="AX194" s="122"/>
    </row>
    <row r="195" spans="1:50" ht="12" customHeight="1" x14ac:dyDescent="0.25">
      <c r="A195" s="123"/>
      <c r="B195" s="240"/>
      <c r="C195" s="123"/>
      <c r="D195" s="123"/>
      <c r="E195" s="123"/>
      <c r="F195" s="123"/>
      <c r="G195" s="123"/>
      <c r="H195" s="123"/>
      <c r="I195" s="123"/>
      <c r="J195" s="267"/>
      <c r="K195" s="232"/>
      <c r="L195" s="123"/>
      <c r="M195" s="259"/>
      <c r="N195" s="123"/>
      <c r="O195" s="123"/>
      <c r="P195" s="123"/>
      <c r="Q195" s="123"/>
      <c r="AJ195" s="122"/>
      <c r="AW195" s="122"/>
      <c r="AX195" s="122"/>
    </row>
    <row r="196" spans="1:50" ht="12" customHeight="1" x14ac:dyDescent="0.25">
      <c r="A196" s="123"/>
      <c r="B196" s="240"/>
      <c r="C196" s="123"/>
      <c r="D196" s="123"/>
      <c r="E196" s="123"/>
      <c r="F196" s="123"/>
      <c r="G196" s="123"/>
      <c r="H196" s="123"/>
      <c r="I196" s="123"/>
      <c r="J196" s="267"/>
      <c r="K196" s="232"/>
      <c r="L196" s="123"/>
      <c r="M196" s="259"/>
      <c r="N196" s="123"/>
      <c r="O196" s="123"/>
      <c r="P196" s="123"/>
      <c r="Q196" s="123"/>
      <c r="AJ196" s="122"/>
      <c r="AW196" s="122"/>
      <c r="AX196" s="122"/>
    </row>
    <row r="197" spans="1:50" ht="12" customHeight="1" x14ac:dyDescent="0.25">
      <c r="A197" s="123"/>
      <c r="B197" s="240"/>
      <c r="C197" s="123"/>
      <c r="D197" s="123"/>
      <c r="E197" s="123"/>
      <c r="F197" s="123"/>
      <c r="G197" s="123"/>
      <c r="H197" s="123"/>
      <c r="I197" s="123"/>
      <c r="J197" s="267"/>
      <c r="K197" s="232"/>
      <c r="L197" s="123"/>
      <c r="M197" s="259"/>
      <c r="N197" s="123"/>
      <c r="O197" s="123"/>
      <c r="P197" s="123"/>
      <c r="Q197" s="123"/>
      <c r="AJ197" s="122"/>
      <c r="AW197" s="122"/>
      <c r="AX197" s="122"/>
    </row>
    <row r="198" spans="1:50" ht="12" customHeight="1" x14ac:dyDescent="0.25">
      <c r="A198" s="123"/>
      <c r="B198" s="240"/>
      <c r="C198" s="123"/>
      <c r="D198" s="123"/>
      <c r="E198" s="123"/>
      <c r="F198" s="123"/>
      <c r="G198" s="123"/>
      <c r="H198" s="123"/>
      <c r="I198" s="123"/>
      <c r="J198" s="267"/>
      <c r="K198" s="232"/>
      <c r="L198" s="123"/>
      <c r="M198" s="259"/>
      <c r="N198" s="123"/>
      <c r="O198" s="123"/>
      <c r="P198" s="123"/>
      <c r="Q198" s="123"/>
      <c r="AJ198" s="122"/>
      <c r="AW198" s="122"/>
      <c r="AX198" s="122"/>
    </row>
    <row r="199" spans="1:50" ht="12" customHeight="1" x14ac:dyDescent="0.25">
      <c r="A199" s="123"/>
      <c r="B199" s="240"/>
      <c r="C199" s="123"/>
      <c r="D199" s="123"/>
      <c r="E199" s="123"/>
      <c r="F199" s="123"/>
      <c r="G199" s="123"/>
      <c r="H199" s="123"/>
      <c r="I199" s="123"/>
      <c r="J199" s="267"/>
      <c r="K199" s="232"/>
      <c r="L199" s="123"/>
      <c r="M199" s="259"/>
      <c r="N199" s="123"/>
      <c r="O199" s="123"/>
      <c r="P199" s="123"/>
      <c r="Q199" s="123"/>
      <c r="AJ199" s="122"/>
      <c r="AW199" s="122"/>
      <c r="AX199" s="122"/>
    </row>
    <row r="200" spans="1:50" ht="12" customHeight="1" x14ac:dyDescent="0.25">
      <c r="A200" s="123"/>
      <c r="B200" s="240"/>
      <c r="C200" s="123"/>
      <c r="D200" s="123"/>
      <c r="E200" s="123"/>
      <c r="F200" s="123"/>
      <c r="G200" s="123"/>
      <c r="H200" s="123"/>
      <c r="I200" s="123"/>
      <c r="J200" s="267"/>
      <c r="K200" s="232"/>
      <c r="L200" s="123"/>
      <c r="M200" s="259"/>
      <c r="N200" s="123"/>
      <c r="O200" s="123"/>
      <c r="P200" s="123"/>
      <c r="Q200" s="123"/>
      <c r="AJ200" s="122"/>
      <c r="AW200" s="122"/>
      <c r="AX200" s="122"/>
    </row>
    <row r="201" spans="1:50" ht="12" customHeight="1" x14ac:dyDescent="0.25">
      <c r="A201" s="123"/>
      <c r="B201" s="240"/>
      <c r="C201" s="123"/>
      <c r="D201" s="123"/>
      <c r="E201" s="123"/>
      <c r="F201" s="123"/>
      <c r="G201" s="123"/>
      <c r="H201" s="123"/>
      <c r="I201" s="123"/>
      <c r="J201" s="267"/>
      <c r="K201" s="232"/>
      <c r="L201" s="123"/>
      <c r="M201" s="259"/>
      <c r="N201" s="123"/>
      <c r="O201" s="123"/>
      <c r="P201" s="123"/>
      <c r="Q201" s="123"/>
      <c r="AJ201" s="122"/>
      <c r="AW201" s="122"/>
      <c r="AX201" s="122"/>
    </row>
    <row r="202" spans="1:50" ht="12" customHeight="1" x14ac:dyDescent="0.25">
      <c r="A202" s="123"/>
      <c r="B202" s="240"/>
      <c r="C202" s="123"/>
      <c r="D202" s="123"/>
      <c r="E202" s="123"/>
      <c r="F202" s="123"/>
      <c r="G202" s="123"/>
      <c r="H202" s="123"/>
      <c r="I202" s="123"/>
      <c r="J202" s="267"/>
      <c r="K202" s="232"/>
      <c r="L202" s="123"/>
      <c r="M202" s="259"/>
      <c r="N202" s="123"/>
      <c r="O202" s="123"/>
      <c r="P202" s="123"/>
      <c r="Q202" s="123"/>
      <c r="AJ202" s="122"/>
      <c r="AW202" s="122"/>
      <c r="AX202" s="122"/>
    </row>
    <row r="203" spans="1:50" ht="12" customHeight="1" x14ac:dyDescent="0.25">
      <c r="A203" s="123"/>
      <c r="B203" s="240"/>
      <c r="C203" s="123"/>
      <c r="D203" s="123"/>
      <c r="E203" s="123"/>
      <c r="F203" s="123"/>
      <c r="G203" s="123"/>
      <c r="H203" s="123"/>
      <c r="I203" s="123"/>
      <c r="J203" s="267"/>
      <c r="K203" s="232"/>
      <c r="L203" s="123"/>
      <c r="M203" s="259"/>
      <c r="N203" s="123"/>
      <c r="O203" s="123"/>
      <c r="P203" s="123"/>
      <c r="Q203" s="123"/>
      <c r="AJ203" s="122"/>
      <c r="AW203" s="122"/>
      <c r="AX203" s="122"/>
    </row>
    <row r="204" spans="1:50" ht="12" customHeight="1" x14ac:dyDescent="0.25">
      <c r="A204" s="123"/>
      <c r="B204" s="240"/>
      <c r="C204" s="123"/>
      <c r="D204" s="123"/>
      <c r="E204" s="123"/>
      <c r="F204" s="123"/>
      <c r="G204" s="123"/>
      <c r="H204" s="123"/>
      <c r="I204" s="123"/>
      <c r="J204" s="267"/>
      <c r="K204" s="232"/>
      <c r="L204" s="123"/>
      <c r="M204" s="259"/>
      <c r="N204" s="123"/>
      <c r="O204" s="123"/>
      <c r="P204" s="123"/>
      <c r="Q204" s="123"/>
      <c r="AJ204" s="122"/>
      <c r="AW204" s="122"/>
      <c r="AX204" s="122"/>
    </row>
    <row r="205" spans="1:50" ht="12" customHeight="1" x14ac:dyDescent="0.25">
      <c r="A205" s="123"/>
      <c r="B205" s="240"/>
      <c r="C205" s="123"/>
      <c r="D205" s="123"/>
      <c r="E205" s="123"/>
      <c r="F205" s="123"/>
      <c r="G205" s="123"/>
      <c r="H205" s="123"/>
      <c r="I205" s="123"/>
      <c r="J205" s="267"/>
      <c r="K205" s="232"/>
      <c r="L205" s="123"/>
      <c r="M205" s="259"/>
      <c r="N205" s="123"/>
      <c r="O205" s="123"/>
      <c r="P205" s="123"/>
      <c r="Q205" s="123"/>
      <c r="AJ205" s="122"/>
      <c r="AW205" s="122"/>
      <c r="AX205" s="122"/>
    </row>
    <row r="206" spans="1:50" ht="12" customHeight="1" x14ac:dyDescent="0.25">
      <c r="A206" s="123"/>
      <c r="B206" s="240"/>
      <c r="C206" s="123"/>
      <c r="D206" s="123"/>
      <c r="E206" s="123"/>
      <c r="F206" s="123"/>
      <c r="G206" s="123"/>
      <c r="H206" s="123"/>
      <c r="I206" s="123"/>
      <c r="J206" s="267"/>
      <c r="K206" s="232"/>
      <c r="L206" s="123"/>
      <c r="M206" s="259"/>
      <c r="N206" s="123"/>
      <c r="O206" s="123"/>
      <c r="P206" s="123"/>
      <c r="Q206" s="123"/>
      <c r="AJ206" s="122"/>
      <c r="AW206" s="122"/>
      <c r="AX206" s="122"/>
    </row>
    <row r="207" spans="1:50" ht="12" customHeight="1" x14ac:dyDescent="0.25">
      <c r="A207" s="123"/>
      <c r="B207" s="240"/>
      <c r="C207" s="123"/>
      <c r="D207" s="123"/>
      <c r="E207" s="123"/>
      <c r="F207" s="123"/>
      <c r="G207" s="123"/>
      <c r="H207" s="123"/>
      <c r="I207" s="123"/>
      <c r="J207" s="267"/>
      <c r="K207" s="232"/>
      <c r="L207" s="123"/>
      <c r="M207" s="259"/>
      <c r="N207" s="123"/>
      <c r="O207" s="123"/>
      <c r="P207" s="123"/>
      <c r="Q207" s="123"/>
      <c r="AJ207" s="122"/>
      <c r="AW207" s="122"/>
      <c r="AX207" s="122"/>
    </row>
    <row r="208" spans="1:50" ht="12" customHeight="1" x14ac:dyDescent="0.25">
      <c r="A208" s="123"/>
      <c r="B208" s="240"/>
      <c r="C208" s="123"/>
      <c r="D208" s="123"/>
      <c r="E208" s="123"/>
      <c r="F208" s="123"/>
      <c r="G208" s="123"/>
      <c r="H208" s="123"/>
      <c r="I208" s="123"/>
      <c r="J208" s="267"/>
      <c r="K208" s="232"/>
      <c r="L208" s="123"/>
      <c r="M208" s="259"/>
      <c r="N208" s="123"/>
      <c r="O208" s="123"/>
      <c r="P208" s="123"/>
      <c r="Q208" s="123"/>
      <c r="AJ208" s="122"/>
      <c r="AW208" s="122"/>
      <c r="AX208" s="122"/>
    </row>
    <row r="209" spans="1:50" ht="12" customHeight="1" x14ac:dyDescent="0.25">
      <c r="A209" s="123"/>
      <c r="B209" s="240"/>
      <c r="C209" s="123"/>
      <c r="D209" s="123"/>
      <c r="E209" s="123"/>
      <c r="F209" s="123"/>
      <c r="G209" s="123"/>
      <c r="H209" s="123"/>
      <c r="I209" s="123"/>
      <c r="J209" s="267"/>
      <c r="K209" s="232"/>
      <c r="L209" s="123"/>
      <c r="M209" s="259"/>
      <c r="N209" s="123"/>
      <c r="O209" s="123"/>
      <c r="P209" s="123"/>
      <c r="Q209" s="123"/>
      <c r="AJ209" s="122"/>
      <c r="AW209" s="122"/>
      <c r="AX209" s="122"/>
    </row>
    <row r="210" spans="1:50" ht="12" customHeight="1" x14ac:dyDescent="0.25">
      <c r="A210" s="123"/>
      <c r="B210" s="240"/>
      <c r="C210" s="123"/>
      <c r="D210" s="123"/>
      <c r="E210" s="123"/>
      <c r="F210" s="123"/>
      <c r="G210" s="123"/>
      <c r="H210" s="123"/>
      <c r="I210" s="123"/>
      <c r="J210" s="267"/>
      <c r="K210" s="232"/>
      <c r="L210" s="123"/>
      <c r="M210" s="259"/>
      <c r="N210" s="123"/>
      <c r="O210" s="123"/>
      <c r="P210" s="123"/>
      <c r="Q210" s="123"/>
      <c r="AJ210" s="122"/>
      <c r="AW210" s="122"/>
      <c r="AX210" s="122"/>
    </row>
    <row r="211" spans="1:50" ht="12" customHeight="1" x14ac:dyDescent="0.25">
      <c r="A211" s="123"/>
      <c r="B211" s="240"/>
      <c r="C211" s="123"/>
      <c r="D211" s="123"/>
      <c r="E211" s="123"/>
      <c r="F211" s="123"/>
      <c r="G211" s="123"/>
      <c r="H211" s="123"/>
      <c r="I211" s="123"/>
      <c r="J211" s="267"/>
      <c r="K211" s="232"/>
      <c r="L211" s="123"/>
      <c r="M211" s="259"/>
      <c r="N211" s="123"/>
      <c r="O211" s="123"/>
      <c r="P211" s="123"/>
      <c r="Q211" s="123"/>
      <c r="AJ211" s="122"/>
      <c r="AW211" s="122"/>
      <c r="AX211" s="122"/>
    </row>
    <row r="212" spans="1:50" ht="12" customHeight="1" x14ac:dyDescent="0.25">
      <c r="A212" s="123"/>
      <c r="B212" s="240"/>
      <c r="C212" s="123"/>
      <c r="D212" s="123"/>
      <c r="E212" s="123"/>
      <c r="F212" s="123"/>
      <c r="G212" s="123"/>
      <c r="H212" s="123"/>
      <c r="I212" s="123"/>
      <c r="J212" s="267"/>
      <c r="K212" s="232"/>
      <c r="L212" s="123"/>
      <c r="M212" s="259"/>
      <c r="N212" s="123"/>
      <c r="O212" s="123"/>
      <c r="P212" s="123"/>
      <c r="Q212" s="123"/>
      <c r="AJ212" s="122"/>
      <c r="AW212" s="122"/>
      <c r="AX212" s="122"/>
    </row>
    <row r="213" spans="1:50" ht="12" customHeight="1" x14ac:dyDescent="0.25">
      <c r="A213" s="123"/>
      <c r="B213" s="240"/>
      <c r="C213" s="123"/>
      <c r="D213" s="123"/>
      <c r="E213" s="123"/>
      <c r="F213" s="123"/>
      <c r="G213" s="123"/>
      <c r="H213" s="123"/>
      <c r="I213" s="123"/>
      <c r="J213" s="267"/>
      <c r="K213" s="232"/>
      <c r="L213" s="123"/>
      <c r="M213" s="259"/>
      <c r="N213" s="123"/>
      <c r="O213" s="123"/>
      <c r="P213" s="123"/>
      <c r="Q213" s="123"/>
      <c r="AJ213" s="122"/>
      <c r="AW213" s="122"/>
      <c r="AX213" s="122"/>
    </row>
    <row r="214" spans="1:50" ht="12" customHeight="1" x14ac:dyDescent="0.25">
      <c r="A214" s="123"/>
      <c r="B214" s="240"/>
      <c r="C214" s="123"/>
      <c r="D214" s="123"/>
      <c r="E214" s="123"/>
      <c r="F214" s="123"/>
      <c r="G214" s="123"/>
      <c r="H214" s="123"/>
      <c r="I214" s="123"/>
      <c r="J214" s="267"/>
      <c r="K214" s="232"/>
      <c r="L214" s="123"/>
      <c r="M214" s="259"/>
      <c r="N214" s="123"/>
      <c r="O214" s="123"/>
      <c r="P214" s="123"/>
      <c r="Q214" s="123"/>
      <c r="AJ214" s="122"/>
      <c r="AW214" s="122"/>
      <c r="AX214" s="122"/>
    </row>
    <row r="215" spans="1:50" ht="12" customHeight="1" x14ac:dyDescent="0.25">
      <c r="A215" s="123"/>
      <c r="B215" s="240"/>
      <c r="C215" s="123"/>
      <c r="D215" s="123"/>
      <c r="E215" s="123"/>
      <c r="F215" s="123"/>
      <c r="G215" s="123"/>
      <c r="H215" s="123"/>
      <c r="I215" s="123"/>
      <c r="J215" s="267"/>
      <c r="K215" s="232"/>
      <c r="L215" s="123"/>
      <c r="M215" s="259"/>
      <c r="N215" s="123"/>
      <c r="O215" s="123"/>
      <c r="P215" s="123"/>
      <c r="Q215" s="123"/>
      <c r="AJ215" s="122"/>
      <c r="AW215" s="122"/>
      <c r="AX215" s="122"/>
    </row>
    <row r="216" spans="1:50" ht="12" customHeight="1" x14ac:dyDescent="0.25">
      <c r="A216" s="123"/>
      <c r="B216" s="240"/>
      <c r="C216" s="123"/>
      <c r="D216" s="123"/>
      <c r="E216" s="123"/>
      <c r="F216" s="123"/>
      <c r="G216" s="123"/>
      <c r="H216" s="123"/>
      <c r="I216" s="123"/>
      <c r="J216" s="267"/>
      <c r="K216" s="232"/>
      <c r="L216" s="123"/>
      <c r="M216" s="259"/>
      <c r="N216" s="123"/>
      <c r="O216" s="123"/>
      <c r="P216" s="123"/>
      <c r="Q216" s="123"/>
      <c r="AJ216" s="122"/>
      <c r="AW216" s="122"/>
      <c r="AX216" s="122"/>
    </row>
    <row r="217" spans="1:50" ht="12" customHeight="1" x14ac:dyDescent="0.25">
      <c r="A217" s="123"/>
      <c r="B217" s="240"/>
      <c r="C217" s="123"/>
      <c r="D217" s="123"/>
      <c r="E217" s="123"/>
      <c r="F217" s="123"/>
      <c r="G217" s="123"/>
      <c r="H217" s="123"/>
      <c r="I217" s="123"/>
      <c r="J217" s="267"/>
      <c r="K217" s="232"/>
      <c r="L217" s="123"/>
      <c r="M217" s="259"/>
      <c r="N217" s="123"/>
      <c r="O217" s="123"/>
      <c r="P217" s="123"/>
      <c r="Q217" s="123"/>
      <c r="AJ217" s="122"/>
      <c r="AW217" s="122"/>
      <c r="AX217" s="122"/>
    </row>
    <row r="218" spans="1:50" ht="12" customHeight="1" x14ac:dyDescent="0.25">
      <c r="A218" s="123"/>
      <c r="B218" s="240"/>
      <c r="C218" s="123"/>
      <c r="D218" s="123"/>
      <c r="E218" s="123"/>
      <c r="F218" s="123"/>
      <c r="G218" s="123"/>
      <c r="H218" s="123"/>
      <c r="I218" s="123"/>
      <c r="J218" s="267"/>
      <c r="K218" s="232"/>
      <c r="L218" s="123"/>
      <c r="M218" s="259"/>
      <c r="N218" s="123"/>
      <c r="O218" s="123"/>
      <c r="P218" s="123"/>
      <c r="Q218" s="123"/>
      <c r="AJ218" s="122"/>
      <c r="AW218" s="122"/>
      <c r="AX218" s="122"/>
    </row>
    <row r="219" spans="1:50" ht="12" customHeight="1" x14ac:dyDescent="0.25">
      <c r="A219" s="123"/>
      <c r="B219" s="240"/>
      <c r="C219" s="123"/>
      <c r="D219" s="123"/>
      <c r="E219" s="123"/>
      <c r="F219" s="123"/>
      <c r="G219" s="123"/>
      <c r="H219" s="123"/>
      <c r="I219" s="123"/>
      <c r="J219" s="267"/>
      <c r="K219" s="232"/>
      <c r="L219" s="123"/>
      <c r="M219" s="259"/>
      <c r="N219" s="123"/>
      <c r="O219" s="123"/>
      <c r="P219" s="123"/>
      <c r="Q219" s="123"/>
      <c r="AJ219" s="122"/>
      <c r="AW219" s="122"/>
      <c r="AX219" s="122"/>
    </row>
    <row r="220" spans="1:50" ht="12" customHeight="1" x14ac:dyDescent="0.25">
      <c r="A220" s="123"/>
      <c r="B220" s="240"/>
      <c r="C220" s="123"/>
      <c r="D220" s="123"/>
      <c r="E220" s="123"/>
      <c r="F220" s="123"/>
      <c r="G220" s="123"/>
      <c r="H220" s="123"/>
      <c r="I220" s="123"/>
      <c r="J220" s="267"/>
      <c r="K220" s="232"/>
      <c r="L220" s="123"/>
      <c r="M220" s="259"/>
      <c r="N220" s="123"/>
      <c r="O220" s="123"/>
      <c r="P220" s="123"/>
      <c r="Q220" s="123"/>
      <c r="AJ220" s="122"/>
      <c r="AW220" s="122"/>
      <c r="AX220" s="122"/>
    </row>
    <row r="221" spans="1:50" ht="12" customHeight="1" x14ac:dyDescent="0.25">
      <c r="A221" s="123"/>
      <c r="B221" s="240"/>
      <c r="C221" s="123"/>
      <c r="D221" s="123"/>
      <c r="E221" s="123"/>
      <c r="F221" s="123"/>
      <c r="G221" s="123"/>
      <c r="H221" s="123"/>
      <c r="I221" s="123"/>
      <c r="J221" s="267"/>
      <c r="K221" s="232"/>
      <c r="L221" s="123"/>
      <c r="M221" s="259"/>
      <c r="N221" s="123"/>
      <c r="O221" s="123"/>
      <c r="P221" s="123"/>
      <c r="Q221" s="123"/>
      <c r="AJ221" s="122"/>
      <c r="AW221" s="122"/>
      <c r="AX221" s="122"/>
    </row>
    <row r="222" spans="1:50" ht="12" customHeight="1" x14ac:dyDescent="0.25">
      <c r="A222" s="123"/>
      <c r="B222" s="240"/>
      <c r="C222" s="123"/>
      <c r="D222" s="123"/>
      <c r="E222" s="123"/>
      <c r="F222" s="123"/>
      <c r="G222" s="123"/>
      <c r="H222" s="123"/>
      <c r="I222" s="123"/>
      <c r="J222" s="267"/>
      <c r="K222" s="232"/>
      <c r="L222" s="123"/>
      <c r="M222" s="259"/>
      <c r="N222" s="123"/>
      <c r="O222" s="123"/>
      <c r="P222" s="123"/>
      <c r="Q222" s="123"/>
      <c r="AJ222" s="122"/>
      <c r="AW222" s="122"/>
      <c r="AX222" s="122"/>
    </row>
    <row r="223" spans="1:50" ht="12" customHeight="1" x14ac:dyDescent="0.25">
      <c r="A223" s="123"/>
      <c r="B223" s="240"/>
      <c r="C223" s="123"/>
      <c r="D223" s="123"/>
      <c r="E223" s="123"/>
      <c r="F223" s="123"/>
      <c r="G223" s="123"/>
      <c r="H223" s="123"/>
      <c r="I223" s="123"/>
      <c r="J223" s="267"/>
      <c r="K223" s="232"/>
      <c r="L223" s="123"/>
      <c r="M223" s="259"/>
      <c r="N223" s="123"/>
      <c r="O223" s="123"/>
      <c r="P223" s="123"/>
      <c r="Q223" s="123"/>
      <c r="AJ223" s="122"/>
      <c r="AW223" s="122"/>
      <c r="AX223" s="122"/>
    </row>
    <row r="224" spans="1:50" ht="12" customHeight="1" x14ac:dyDescent="0.25">
      <c r="A224" s="123"/>
      <c r="B224" s="240"/>
      <c r="C224" s="123"/>
      <c r="D224" s="123"/>
      <c r="E224" s="123"/>
      <c r="F224" s="123"/>
      <c r="G224" s="123"/>
      <c r="H224" s="123"/>
      <c r="I224" s="123"/>
      <c r="J224" s="267"/>
      <c r="K224" s="232"/>
      <c r="L224" s="123"/>
      <c r="M224" s="259"/>
      <c r="N224" s="123"/>
      <c r="O224" s="123"/>
      <c r="P224" s="123"/>
      <c r="Q224" s="123"/>
      <c r="AJ224" s="122"/>
      <c r="AW224" s="122"/>
      <c r="AX224" s="122"/>
    </row>
    <row r="225" spans="1:50" ht="12" customHeight="1" x14ac:dyDescent="0.25">
      <c r="A225" s="123"/>
      <c r="B225" s="240"/>
      <c r="C225" s="123"/>
      <c r="D225" s="123"/>
      <c r="E225" s="123"/>
      <c r="F225" s="123"/>
      <c r="G225" s="123"/>
      <c r="H225" s="123"/>
      <c r="I225" s="123"/>
      <c r="J225" s="267"/>
      <c r="K225" s="232"/>
      <c r="L225" s="123"/>
      <c r="M225" s="259"/>
      <c r="N225" s="123"/>
      <c r="O225" s="123"/>
      <c r="P225" s="123"/>
      <c r="Q225" s="123"/>
      <c r="AJ225" s="122"/>
      <c r="AW225" s="122"/>
      <c r="AX225" s="122"/>
    </row>
    <row r="226" spans="1:50" ht="12" customHeight="1" x14ac:dyDescent="0.25">
      <c r="A226" s="123"/>
      <c r="B226" s="240"/>
      <c r="C226" s="123"/>
      <c r="D226" s="123"/>
      <c r="E226" s="123"/>
      <c r="F226" s="123"/>
      <c r="G226" s="123"/>
      <c r="H226" s="123"/>
      <c r="I226" s="123"/>
      <c r="J226" s="267"/>
      <c r="K226" s="232"/>
      <c r="L226" s="123"/>
      <c r="M226" s="259"/>
      <c r="N226" s="123"/>
      <c r="O226" s="123"/>
      <c r="P226" s="123"/>
      <c r="Q226" s="123"/>
      <c r="AJ226" s="122"/>
      <c r="AW226" s="122"/>
      <c r="AX226" s="122"/>
    </row>
    <row r="227" spans="1:50" ht="12" customHeight="1" x14ac:dyDescent="0.25">
      <c r="A227" s="123"/>
      <c r="B227" s="240"/>
      <c r="C227" s="123"/>
      <c r="D227" s="123"/>
      <c r="E227" s="123"/>
      <c r="F227" s="123"/>
      <c r="G227" s="123"/>
      <c r="H227" s="123"/>
      <c r="I227" s="123"/>
      <c r="J227" s="267"/>
      <c r="K227" s="232"/>
      <c r="L227" s="123"/>
      <c r="M227" s="259"/>
      <c r="N227" s="123"/>
      <c r="O227" s="123"/>
      <c r="P227" s="123"/>
      <c r="Q227" s="123"/>
      <c r="AJ227" s="122"/>
      <c r="AW227" s="122"/>
      <c r="AX227" s="122"/>
    </row>
    <row r="228" spans="1:50" ht="13.5" customHeight="1" x14ac:dyDescent="0.25">
      <c r="A228" s="123"/>
      <c r="B228" s="240"/>
      <c r="C228" s="123"/>
      <c r="D228" s="123"/>
      <c r="E228" s="123"/>
      <c r="F228" s="123"/>
      <c r="G228" s="123"/>
      <c r="H228" s="123"/>
      <c r="I228" s="123"/>
      <c r="J228" s="267"/>
      <c r="K228" s="232"/>
      <c r="L228" s="123"/>
      <c r="M228" s="259"/>
      <c r="N228" s="123"/>
      <c r="O228" s="123"/>
      <c r="P228" s="123"/>
      <c r="Q228" s="123"/>
      <c r="AJ228" s="122"/>
      <c r="AW228" s="122"/>
      <c r="AX228" s="122"/>
    </row>
    <row r="229" spans="1:50" ht="12" customHeight="1" x14ac:dyDescent="0.25">
      <c r="A229" s="123"/>
      <c r="B229" s="240"/>
      <c r="C229" s="123"/>
      <c r="D229" s="123"/>
      <c r="E229" s="123"/>
      <c r="F229" s="123"/>
      <c r="G229" s="123"/>
      <c r="H229" s="123"/>
      <c r="I229" s="123"/>
      <c r="J229" s="267"/>
      <c r="K229" s="232"/>
      <c r="L229" s="123"/>
      <c r="M229" s="259"/>
      <c r="N229" s="123"/>
      <c r="O229" s="123"/>
      <c r="P229" s="123"/>
      <c r="Q229" s="123"/>
      <c r="AJ229" s="122"/>
      <c r="AW229" s="122"/>
      <c r="AX229" s="122"/>
    </row>
    <row r="230" spans="1:50" ht="12" customHeight="1" x14ac:dyDescent="0.25">
      <c r="A230" s="123"/>
      <c r="B230" s="240"/>
      <c r="C230" s="123"/>
      <c r="D230" s="123"/>
      <c r="E230" s="123"/>
      <c r="F230" s="123"/>
      <c r="G230" s="123"/>
      <c r="H230" s="123"/>
      <c r="I230" s="123"/>
      <c r="J230" s="267"/>
      <c r="K230" s="232"/>
      <c r="L230" s="123"/>
      <c r="M230" s="259"/>
      <c r="N230" s="123"/>
      <c r="O230" s="123"/>
      <c r="P230" s="123"/>
      <c r="Q230" s="123"/>
      <c r="AJ230" s="122"/>
      <c r="AW230" s="122"/>
      <c r="AX230" s="122"/>
    </row>
    <row r="231" spans="1:50" ht="12" customHeight="1" x14ac:dyDescent="0.25">
      <c r="A231" s="123"/>
      <c r="B231" s="240"/>
      <c r="C231" s="123"/>
      <c r="D231" s="123"/>
      <c r="E231" s="123"/>
      <c r="F231" s="123"/>
      <c r="G231" s="123"/>
      <c r="H231" s="123"/>
      <c r="I231" s="123"/>
      <c r="J231" s="267"/>
      <c r="K231" s="232"/>
      <c r="L231" s="123"/>
      <c r="M231" s="259"/>
      <c r="N231" s="123"/>
      <c r="O231" s="123"/>
      <c r="P231" s="123"/>
      <c r="Q231" s="123"/>
      <c r="AJ231" s="122"/>
      <c r="AW231" s="122"/>
      <c r="AX231" s="122"/>
    </row>
    <row r="232" spans="1:50" ht="12" customHeight="1" x14ac:dyDescent="0.25">
      <c r="A232" s="123"/>
      <c r="B232" s="240"/>
      <c r="C232" s="123"/>
      <c r="D232" s="123"/>
      <c r="E232" s="123"/>
      <c r="F232" s="123"/>
      <c r="G232" s="123"/>
      <c r="H232" s="123"/>
      <c r="I232" s="123"/>
      <c r="J232" s="267"/>
      <c r="K232" s="232"/>
      <c r="L232" s="123"/>
      <c r="M232" s="259"/>
      <c r="N232" s="123"/>
      <c r="O232" s="123"/>
      <c r="P232" s="123"/>
      <c r="Q232" s="123"/>
      <c r="AJ232" s="122"/>
      <c r="AW232" s="122"/>
      <c r="AX232" s="122"/>
    </row>
    <row r="233" spans="1:50" ht="12" customHeight="1" x14ac:dyDescent="0.25">
      <c r="A233" s="123"/>
      <c r="B233" s="240"/>
      <c r="C233" s="123"/>
      <c r="D233" s="123"/>
      <c r="E233" s="123"/>
      <c r="F233" s="123"/>
      <c r="G233" s="123"/>
      <c r="H233" s="123"/>
      <c r="I233" s="123"/>
      <c r="J233" s="267"/>
      <c r="K233" s="232"/>
      <c r="L233" s="123"/>
      <c r="M233" s="259"/>
      <c r="N233" s="123"/>
      <c r="O233" s="123"/>
      <c r="P233" s="123"/>
      <c r="Q233" s="123"/>
      <c r="AJ233" s="122"/>
      <c r="AW233" s="122"/>
      <c r="AX233" s="122"/>
    </row>
    <row r="234" spans="1:50" ht="12" customHeight="1" x14ac:dyDescent="0.25">
      <c r="A234" s="123"/>
      <c r="B234" s="240"/>
      <c r="C234" s="123"/>
      <c r="D234" s="123"/>
      <c r="E234" s="123"/>
      <c r="F234" s="123"/>
      <c r="G234" s="123"/>
      <c r="H234" s="123"/>
      <c r="I234" s="123"/>
      <c r="J234" s="267"/>
      <c r="K234" s="232"/>
      <c r="L234" s="123"/>
      <c r="M234" s="259"/>
      <c r="N234" s="123"/>
      <c r="O234" s="123"/>
      <c r="P234" s="123"/>
      <c r="Q234" s="123"/>
      <c r="AJ234" s="122"/>
      <c r="AW234" s="122"/>
      <c r="AX234" s="122"/>
    </row>
    <row r="235" spans="1:50" ht="12" customHeight="1" x14ac:dyDescent="0.25">
      <c r="A235" s="123"/>
      <c r="B235" s="240"/>
      <c r="C235" s="123"/>
      <c r="D235" s="123"/>
      <c r="E235" s="123"/>
      <c r="F235" s="123"/>
      <c r="G235" s="123"/>
      <c r="H235" s="123"/>
      <c r="I235" s="123"/>
      <c r="J235" s="267"/>
      <c r="K235" s="232"/>
      <c r="L235" s="123"/>
      <c r="M235" s="259"/>
      <c r="N235" s="123"/>
      <c r="O235" s="123"/>
      <c r="P235" s="123"/>
      <c r="Q235" s="123"/>
      <c r="AJ235" s="122"/>
      <c r="AW235" s="122"/>
      <c r="AX235" s="122"/>
    </row>
    <row r="236" spans="1:50" ht="12" customHeight="1" x14ac:dyDescent="0.25">
      <c r="A236" s="123"/>
      <c r="B236" s="240"/>
      <c r="C236" s="123"/>
      <c r="D236" s="123"/>
      <c r="E236" s="123"/>
      <c r="F236" s="123"/>
      <c r="G236" s="123"/>
      <c r="H236" s="123"/>
      <c r="I236" s="123"/>
      <c r="J236" s="267"/>
      <c r="K236" s="232"/>
      <c r="L236" s="123"/>
      <c r="M236" s="259"/>
      <c r="N236" s="123"/>
      <c r="O236" s="123"/>
      <c r="P236" s="123"/>
      <c r="Q236" s="123"/>
      <c r="AJ236" s="122"/>
      <c r="AW236" s="122"/>
      <c r="AX236" s="122"/>
    </row>
    <row r="237" spans="1:50" ht="12" customHeight="1" x14ac:dyDescent="0.25">
      <c r="A237" s="123"/>
      <c r="B237" s="240"/>
      <c r="C237" s="123"/>
      <c r="D237" s="123"/>
      <c r="E237" s="123"/>
      <c r="F237" s="123"/>
      <c r="G237" s="123"/>
      <c r="H237" s="123"/>
      <c r="I237" s="123"/>
      <c r="J237" s="267"/>
      <c r="K237" s="232"/>
      <c r="L237" s="123"/>
      <c r="M237" s="259"/>
      <c r="N237" s="123"/>
      <c r="O237" s="123"/>
      <c r="P237" s="123"/>
      <c r="Q237" s="123"/>
      <c r="AJ237" s="122"/>
      <c r="AW237" s="122"/>
      <c r="AX237" s="122"/>
    </row>
    <row r="238" spans="1:50" ht="12" customHeight="1" x14ac:dyDescent="0.25">
      <c r="A238" s="123"/>
      <c r="B238" s="240"/>
      <c r="C238" s="123"/>
      <c r="D238" s="123"/>
      <c r="E238" s="123"/>
      <c r="F238" s="123"/>
      <c r="G238" s="123"/>
      <c r="H238" s="123"/>
      <c r="I238" s="123"/>
      <c r="J238" s="267"/>
      <c r="K238" s="232"/>
      <c r="L238" s="123"/>
      <c r="M238" s="259"/>
      <c r="N238" s="123"/>
      <c r="O238" s="123"/>
      <c r="P238" s="123"/>
      <c r="Q238" s="123"/>
      <c r="AJ238" s="122"/>
      <c r="AW238" s="122"/>
      <c r="AX238" s="122"/>
    </row>
    <row r="239" spans="1:50" ht="12" customHeight="1" x14ac:dyDescent="0.25">
      <c r="A239" s="123"/>
      <c r="B239" s="240"/>
      <c r="C239" s="123"/>
      <c r="D239" s="123"/>
      <c r="E239" s="123"/>
      <c r="F239" s="123"/>
      <c r="G239" s="123"/>
      <c r="H239" s="123"/>
      <c r="I239" s="123"/>
      <c r="J239" s="267"/>
      <c r="K239" s="232"/>
      <c r="L239" s="123"/>
      <c r="M239" s="259"/>
      <c r="N239" s="123"/>
      <c r="O239" s="123"/>
      <c r="P239" s="123"/>
      <c r="Q239" s="123"/>
      <c r="AJ239" s="122"/>
      <c r="AW239" s="122"/>
      <c r="AX239" s="122"/>
    </row>
    <row r="240" spans="1:50" ht="12" customHeight="1" x14ac:dyDescent="0.25">
      <c r="A240" s="107"/>
      <c r="B240" s="240"/>
      <c r="C240" s="123"/>
      <c r="D240" s="123"/>
      <c r="E240" s="123"/>
      <c r="F240" s="123"/>
      <c r="G240" s="123"/>
      <c r="H240" s="123"/>
      <c r="I240" s="123"/>
      <c r="J240" s="267"/>
      <c r="K240" s="232"/>
      <c r="L240" s="123"/>
      <c r="M240" s="259"/>
      <c r="N240" s="123"/>
      <c r="O240" s="123"/>
      <c r="P240" s="123"/>
      <c r="Q240" s="123"/>
      <c r="AJ240" s="122"/>
      <c r="AW240" s="122"/>
      <c r="AX240" s="122"/>
    </row>
    <row r="241" spans="1:50" ht="12" customHeight="1" x14ac:dyDescent="0.25">
      <c r="A241" s="107"/>
      <c r="B241" s="240"/>
      <c r="C241" s="123"/>
      <c r="D241" s="123"/>
      <c r="E241" s="123"/>
      <c r="F241" s="123"/>
      <c r="G241" s="123"/>
      <c r="H241" s="123"/>
      <c r="I241" s="123"/>
      <c r="J241" s="267"/>
      <c r="K241" s="232"/>
      <c r="L241" s="123"/>
      <c r="M241" s="259"/>
      <c r="N241" s="123"/>
      <c r="O241" s="123"/>
      <c r="P241" s="123"/>
      <c r="Q241" s="123"/>
      <c r="AJ241" s="122"/>
      <c r="AW241" s="122"/>
      <c r="AX241" s="122"/>
    </row>
    <row r="242" spans="1:50" ht="12" customHeight="1" x14ac:dyDescent="0.25">
      <c r="A242" s="107"/>
      <c r="B242" s="240"/>
      <c r="C242" s="123"/>
      <c r="D242" s="123"/>
      <c r="E242" s="123"/>
      <c r="F242" s="123"/>
      <c r="G242" s="123"/>
      <c r="H242" s="123"/>
      <c r="I242" s="123"/>
      <c r="J242" s="267"/>
      <c r="K242" s="232"/>
      <c r="L242" s="123"/>
      <c r="M242" s="259"/>
      <c r="N242" s="123"/>
      <c r="O242" s="123"/>
      <c r="P242" s="123"/>
      <c r="Q242" s="123"/>
      <c r="AJ242" s="122"/>
      <c r="AW242" s="122"/>
      <c r="AX242" s="122"/>
    </row>
    <row r="243" spans="1:50" ht="12" customHeight="1" x14ac:dyDescent="0.25">
      <c r="A243" s="107"/>
      <c r="B243" s="107"/>
      <c r="C243" s="107"/>
      <c r="D243" s="111"/>
      <c r="E243" s="123"/>
      <c r="F243" s="123"/>
      <c r="G243" s="123"/>
      <c r="H243" s="123"/>
      <c r="I243" s="123"/>
      <c r="J243" s="267"/>
      <c r="K243" s="232"/>
      <c r="L243" s="123"/>
      <c r="M243" s="259"/>
      <c r="N243" s="123"/>
      <c r="O243" s="123"/>
      <c r="P243" s="123"/>
      <c r="Q243" s="123"/>
      <c r="AJ243" s="122"/>
      <c r="AW243" s="122"/>
      <c r="AX243" s="122"/>
    </row>
    <row r="244" spans="1:50" ht="12" customHeight="1" x14ac:dyDescent="0.25">
      <c r="A244" s="107"/>
      <c r="B244" s="107"/>
      <c r="C244" s="107"/>
      <c r="D244" s="111"/>
      <c r="E244" s="123"/>
      <c r="F244" s="123"/>
      <c r="G244" s="123"/>
      <c r="H244" s="123"/>
      <c r="I244" s="123"/>
      <c r="J244" s="267"/>
      <c r="K244" s="232"/>
      <c r="L244" s="123"/>
      <c r="M244" s="259"/>
      <c r="N244" s="123"/>
      <c r="O244" s="123"/>
      <c r="P244" s="123"/>
      <c r="Q244" s="123"/>
      <c r="AJ244" s="122"/>
      <c r="AW244" s="122"/>
      <c r="AX244" s="122"/>
    </row>
    <row r="245" spans="1:50" ht="12" customHeight="1" x14ac:dyDescent="0.25">
      <c r="A245" s="107"/>
      <c r="B245" s="107"/>
      <c r="C245" s="107"/>
      <c r="D245" s="111"/>
      <c r="E245" s="123"/>
      <c r="F245" s="123"/>
      <c r="G245" s="123"/>
      <c r="H245" s="123"/>
      <c r="I245" s="123"/>
      <c r="J245" s="267"/>
      <c r="K245" s="232"/>
      <c r="L245" s="123"/>
      <c r="M245" s="259"/>
      <c r="N245" s="123"/>
      <c r="O245" s="123"/>
      <c r="P245" s="123"/>
      <c r="Q245" s="123"/>
      <c r="AJ245" s="122"/>
      <c r="AW245" s="122"/>
      <c r="AX245" s="122"/>
    </row>
    <row r="246" spans="1:50" ht="12" customHeight="1" x14ac:dyDescent="0.25">
      <c r="A246" s="107"/>
      <c r="B246" s="107"/>
      <c r="C246" s="107"/>
      <c r="D246" s="111"/>
      <c r="E246" s="123"/>
      <c r="F246" s="123"/>
      <c r="G246" s="123"/>
      <c r="H246" s="123"/>
      <c r="I246" s="123"/>
      <c r="J246" s="123"/>
      <c r="K246" s="232"/>
      <c r="L246" s="123"/>
      <c r="M246" s="259"/>
      <c r="N246" s="123"/>
      <c r="O246" s="123"/>
      <c r="P246" s="123"/>
      <c r="Q246" s="123"/>
      <c r="AJ246" s="122"/>
      <c r="AW246" s="122"/>
      <c r="AX246" s="122"/>
    </row>
    <row r="247" spans="1:50" ht="12" customHeight="1" x14ac:dyDescent="0.25">
      <c r="A247" s="105"/>
      <c r="B247" s="107"/>
      <c r="C247" s="107"/>
      <c r="D247" s="107"/>
      <c r="E247" s="123"/>
      <c r="F247" s="194"/>
      <c r="G247" s="194"/>
      <c r="H247" s="194"/>
      <c r="I247" s="194"/>
      <c r="J247" s="123"/>
      <c r="K247" s="232"/>
      <c r="L247" s="123"/>
      <c r="M247" s="259"/>
      <c r="N247" s="123"/>
      <c r="O247" s="123"/>
      <c r="P247" s="123"/>
      <c r="Q247" s="123"/>
      <c r="AJ247" s="122"/>
      <c r="AW247" s="122"/>
      <c r="AX247" s="122"/>
    </row>
    <row r="248" spans="1:50" ht="12" customHeight="1" x14ac:dyDescent="0.25">
      <c r="A248" s="433" t="e">
        <f>(F13-#REF!)*12%</f>
        <v>#REF!</v>
      </c>
      <c r="B248" s="107"/>
      <c r="C248" s="107"/>
      <c r="D248" s="107"/>
      <c r="E248" s="123"/>
      <c r="F248" s="123"/>
      <c r="G248" s="123"/>
      <c r="H248" s="123"/>
      <c r="I248" s="123"/>
      <c r="J248" s="123"/>
      <c r="K248" s="232"/>
      <c r="L248" s="123"/>
      <c r="M248" s="259"/>
      <c r="N248" s="123"/>
      <c r="O248" s="123"/>
      <c r="P248" s="123"/>
      <c r="Q248" s="123"/>
      <c r="AJ248" s="122"/>
      <c r="AW248" s="122"/>
      <c r="AX248" s="122"/>
    </row>
    <row r="249" spans="1:50" ht="12" customHeight="1" x14ac:dyDescent="0.25">
      <c r="A249" s="434"/>
      <c r="B249" s="107"/>
      <c r="C249" s="107"/>
      <c r="D249" s="274"/>
      <c r="E249" s="275"/>
      <c r="F249" s="275"/>
      <c r="G249" s="275"/>
      <c r="H249" s="275"/>
      <c r="I249" s="276"/>
      <c r="J249" s="123"/>
      <c r="K249" s="232"/>
      <c r="L249" s="123"/>
      <c r="M249" s="259"/>
      <c r="N249" s="123"/>
      <c r="O249" s="123"/>
      <c r="P249" s="123"/>
      <c r="Q249" s="123"/>
      <c r="AJ249" s="122"/>
      <c r="AW249" s="122"/>
      <c r="AX249" s="122"/>
    </row>
    <row r="250" spans="1:50" ht="12" customHeight="1" x14ac:dyDescent="0.25">
      <c r="A250" s="105"/>
      <c r="B250" s="107"/>
      <c r="C250" s="107"/>
      <c r="D250" s="274"/>
      <c r="E250" s="275"/>
      <c r="F250" s="275"/>
      <c r="G250" s="275"/>
      <c r="H250" s="275"/>
      <c r="I250" s="254"/>
      <c r="J250" s="123"/>
      <c r="K250" s="232"/>
      <c r="L250" s="123"/>
      <c r="M250" s="259"/>
      <c r="N250" s="123"/>
      <c r="O250" s="123"/>
      <c r="P250" s="123"/>
      <c r="Q250" s="123"/>
      <c r="AJ250" s="122"/>
      <c r="AW250" s="122"/>
      <c r="AX250" s="122"/>
    </row>
    <row r="251" spans="1:50" ht="17.25" customHeight="1" x14ac:dyDescent="0.25">
      <c r="B251" s="433"/>
      <c r="C251" s="105"/>
      <c r="D251" s="277"/>
      <c r="E251" s="278"/>
      <c r="F251" s="279"/>
      <c r="G251" s="279"/>
      <c r="H251" s="279"/>
      <c r="I251" s="276"/>
      <c r="J251" s="123"/>
      <c r="K251" s="232"/>
      <c r="L251" s="123"/>
      <c r="M251" s="259"/>
      <c r="N251" s="123"/>
      <c r="O251" s="123"/>
      <c r="P251" s="123"/>
      <c r="Q251" s="123"/>
      <c r="AJ251" s="122"/>
      <c r="AW251" s="122"/>
      <c r="AX251" s="122"/>
    </row>
    <row r="252" spans="1:50" ht="15.75" customHeight="1" x14ac:dyDescent="0.25">
      <c r="B252" s="105"/>
      <c r="C252" s="105"/>
      <c r="D252" s="277"/>
      <c r="F252" s="279"/>
      <c r="G252" s="279"/>
      <c r="H252" s="279"/>
      <c r="I252" s="280"/>
      <c r="J252" s="123"/>
      <c r="K252" s="232"/>
      <c r="L252" s="123"/>
      <c r="M252" s="259"/>
      <c r="N252" s="123"/>
      <c r="O252" s="123"/>
      <c r="P252" s="123"/>
      <c r="Q252" s="123"/>
      <c r="AJ252" s="122"/>
      <c r="AW252" s="122"/>
      <c r="AX252" s="122"/>
    </row>
    <row r="253" spans="1:50" ht="12.75" customHeight="1" x14ac:dyDescent="0.25">
      <c r="B253" s="105"/>
      <c r="C253" s="105"/>
      <c r="D253" s="277"/>
      <c r="E253" s="278"/>
      <c r="F253" s="278"/>
      <c r="G253" s="278"/>
      <c r="H253" s="278"/>
      <c r="J253" s="123"/>
      <c r="K253" s="232"/>
      <c r="L253" s="123"/>
      <c r="M253" s="259"/>
      <c r="N253" s="123"/>
      <c r="O253" s="123"/>
      <c r="P253" s="123"/>
      <c r="Q253" s="123"/>
      <c r="AJ253" s="122"/>
      <c r="AW253" s="122"/>
      <c r="AX253" s="122"/>
    </row>
    <row r="254" spans="1:50" ht="12.75" customHeight="1" x14ac:dyDescent="0.25">
      <c r="D254" s="281"/>
      <c r="E254" s="278"/>
      <c r="F254" s="278"/>
      <c r="G254" s="278"/>
      <c r="H254" s="278"/>
      <c r="K254" s="232"/>
      <c r="L254" s="123"/>
      <c r="M254" s="259"/>
      <c r="N254" s="123"/>
      <c r="O254" s="123"/>
      <c r="P254" s="123"/>
      <c r="Q254" s="123"/>
      <c r="AJ254" s="122"/>
      <c r="AW254" s="122"/>
      <c r="AX254" s="122"/>
    </row>
    <row r="255" spans="1:50" ht="12.75" customHeight="1" x14ac:dyDescent="0.25">
      <c r="D255" s="281"/>
      <c r="E255" s="278"/>
      <c r="F255" s="278"/>
      <c r="G255" s="278"/>
      <c r="H255" s="278"/>
      <c r="K255" s="232"/>
      <c r="L255" s="123"/>
      <c r="M255" s="259"/>
      <c r="N255" s="123"/>
      <c r="O255" s="123"/>
      <c r="P255" s="123"/>
      <c r="Q255" s="123"/>
      <c r="AJ255" s="122"/>
      <c r="AW255" s="122"/>
      <c r="AX255" s="122"/>
    </row>
    <row r="256" spans="1:50" ht="12.75" customHeight="1" x14ac:dyDescent="0.25">
      <c r="D256" s="281"/>
      <c r="E256" s="278"/>
      <c r="F256" s="278"/>
      <c r="G256" s="278"/>
      <c r="H256" s="278"/>
      <c r="J256" s="282"/>
      <c r="K256" s="232"/>
      <c r="L256" s="123"/>
      <c r="M256" s="259"/>
      <c r="N256" s="123"/>
      <c r="O256" s="123"/>
      <c r="P256" s="123"/>
      <c r="Q256" s="123"/>
      <c r="AJ256" s="122"/>
      <c r="AW256" s="122"/>
      <c r="AX256" s="122"/>
    </row>
    <row r="257" spans="4:50" ht="12.75" customHeight="1" x14ac:dyDescent="0.25">
      <c r="D257" s="281"/>
      <c r="E257" s="278"/>
      <c r="F257" s="278"/>
      <c r="G257" s="278"/>
      <c r="H257" s="278"/>
      <c r="J257" s="276"/>
      <c r="K257" s="232"/>
      <c r="L257" s="123"/>
      <c r="M257" s="259"/>
      <c r="N257" s="123"/>
      <c r="O257" s="123"/>
      <c r="P257" s="123"/>
      <c r="Q257" s="123"/>
      <c r="AJ257" s="122"/>
      <c r="AW257" s="122"/>
      <c r="AX257" s="122"/>
    </row>
    <row r="258" spans="4:50" ht="12.75" customHeight="1" x14ac:dyDescent="0.25">
      <c r="D258" s="281"/>
      <c r="E258" s="278"/>
      <c r="F258" s="278"/>
      <c r="G258" s="278"/>
      <c r="H258" s="278"/>
      <c r="J258" s="254"/>
      <c r="K258" s="232"/>
      <c r="L258" s="123"/>
      <c r="M258" s="259"/>
      <c r="N258" s="123"/>
      <c r="O258" s="123"/>
      <c r="P258" s="123"/>
      <c r="Q258" s="123"/>
      <c r="AJ258" s="122"/>
      <c r="AW258" s="122"/>
      <c r="AX258" s="122"/>
    </row>
    <row r="259" spans="4:50" ht="12.75" customHeight="1" x14ac:dyDescent="0.25">
      <c r="D259" s="281"/>
      <c r="E259" s="278"/>
      <c r="F259" s="278"/>
      <c r="G259" s="278"/>
      <c r="H259" s="278"/>
      <c r="J259" s="276"/>
      <c r="K259" s="232"/>
      <c r="L259" s="123"/>
      <c r="M259" s="259"/>
      <c r="N259" s="123"/>
      <c r="O259" s="123"/>
      <c r="P259" s="123"/>
      <c r="Q259" s="123"/>
      <c r="AJ259" s="122"/>
      <c r="AW259" s="122"/>
      <c r="AX259" s="122"/>
    </row>
    <row r="260" spans="4:50" ht="12.75" customHeight="1" x14ac:dyDescent="0.25">
      <c r="D260" s="281"/>
      <c r="E260" s="278"/>
      <c r="F260" s="278"/>
      <c r="G260" s="278"/>
      <c r="H260" s="278"/>
      <c r="J260" s="280"/>
      <c r="K260" s="232"/>
      <c r="L260" s="123"/>
      <c r="M260" s="259"/>
      <c r="N260" s="123"/>
      <c r="O260" s="123"/>
      <c r="P260" s="123"/>
      <c r="Q260" s="123"/>
      <c r="AJ260" s="122"/>
      <c r="AW260" s="122"/>
      <c r="AX260" s="122"/>
    </row>
    <row r="261" spans="4:50" ht="12.75" customHeight="1" x14ac:dyDescent="0.25">
      <c r="D261" s="281"/>
      <c r="E261" s="278"/>
      <c r="F261" s="278"/>
      <c r="G261" s="278"/>
      <c r="H261" s="278"/>
      <c r="K261" s="232"/>
      <c r="L261" s="123"/>
      <c r="M261" s="259"/>
      <c r="N261" s="123"/>
      <c r="O261" s="123"/>
      <c r="P261" s="123"/>
      <c r="Q261" s="123"/>
      <c r="AJ261" s="122"/>
      <c r="AW261" s="122"/>
      <c r="AX261" s="122"/>
    </row>
    <row r="262" spans="4:50" ht="12.75" customHeight="1" x14ac:dyDescent="0.25">
      <c r="D262" s="281"/>
      <c r="E262" s="278"/>
      <c r="F262" s="278"/>
      <c r="G262" s="278"/>
      <c r="H262" s="278"/>
      <c r="K262" s="123"/>
      <c r="L262" s="123"/>
      <c r="M262" s="259"/>
      <c r="N262" s="123"/>
      <c r="O262" s="123"/>
      <c r="P262" s="123"/>
      <c r="Q262" s="123"/>
      <c r="AJ262" s="122"/>
      <c r="AW262" s="122"/>
      <c r="AX262" s="122"/>
    </row>
    <row r="263" spans="4:50" ht="12.75" customHeight="1" x14ac:dyDescent="0.25">
      <c r="D263" s="281"/>
      <c r="E263" s="278"/>
      <c r="F263" s="278"/>
      <c r="G263" s="278"/>
      <c r="H263" s="278"/>
      <c r="K263" s="123"/>
      <c r="L263" s="123"/>
      <c r="M263" s="194"/>
      <c r="N263" s="123"/>
      <c r="O263" s="123"/>
      <c r="P263" s="123"/>
      <c r="Q263" s="123"/>
      <c r="AJ263" s="122"/>
      <c r="AW263" s="122"/>
      <c r="AX263" s="122"/>
    </row>
    <row r="264" spans="4:50" ht="12.75" customHeight="1" x14ac:dyDescent="0.25">
      <c r="D264" s="281"/>
      <c r="E264" s="278"/>
      <c r="F264" s="278"/>
      <c r="G264" s="278"/>
      <c r="H264" s="278"/>
      <c r="K264" s="123"/>
      <c r="L264" s="123"/>
      <c r="M264" s="194"/>
      <c r="N264" s="123"/>
      <c r="O264" s="123"/>
      <c r="P264" s="123"/>
      <c r="Q264" s="123"/>
      <c r="AJ264" s="122"/>
      <c r="AW264" s="122"/>
      <c r="AX264" s="122"/>
    </row>
    <row r="265" spans="4:50" ht="12.75" customHeight="1" x14ac:dyDescent="0.25">
      <c r="D265" s="281"/>
      <c r="E265" s="278"/>
      <c r="F265" s="278"/>
      <c r="G265" s="278"/>
      <c r="H265" s="278"/>
      <c r="K265" s="123"/>
      <c r="L265" s="123"/>
      <c r="M265" s="194"/>
      <c r="N265" s="123"/>
      <c r="O265" s="123"/>
      <c r="P265" s="123"/>
      <c r="Q265" s="123"/>
      <c r="AJ265" s="122"/>
      <c r="AW265" s="122"/>
      <c r="AX265" s="122"/>
    </row>
    <row r="266" spans="4:50" ht="12.75" customHeight="1" x14ac:dyDescent="0.25">
      <c r="D266" s="281"/>
      <c r="E266" s="278"/>
      <c r="F266" s="278"/>
      <c r="G266" s="278"/>
      <c r="H266" s="278"/>
      <c r="K266" s="1233"/>
      <c r="L266" s="1233"/>
      <c r="M266" s="1233"/>
      <c r="N266" s="123"/>
      <c r="O266" s="123"/>
      <c r="P266" s="1233"/>
      <c r="Q266" s="1233"/>
      <c r="AJ266" s="122"/>
      <c r="AW266" s="122"/>
      <c r="AX266" s="122"/>
    </row>
    <row r="267" spans="4:50" ht="12.75" customHeight="1" x14ac:dyDescent="0.25">
      <c r="D267" s="281"/>
      <c r="E267" s="278"/>
      <c r="F267" s="278"/>
      <c r="G267" s="278"/>
      <c r="H267" s="278"/>
      <c r="K267" s="123"/>
      <c r="L267" s="1232"/>
      <c r="M267" s="1232"/>
      <c r="N267" s="123"/>
      <c r="O267" s="123"/>
      <c r="P267" s="123"/>
      <c r="Q267" s="123"/>
      <c r="AJ267" s="122"/>
      <c r="AW267" s="122"/>
      <c r="AX267" s="122"/>
    </row>
    <row r="268" spans="4:50" ht="12.75" customHeight="1" x14ac:dyDescent="0.25">
      <c r="D268" s="281"/>
      <c r="E268" s="278"/>
      <c r="F268" s="278"/>
      <c r="G268" s="278"/>
      <c r="H268" s="278"/>
      <c r="K268" s="276"/>
      <c r="L268" s="113"/>
      <c r="M268" s="123"/>
      <c r="N268" s="123"/>
      <c r="O268" s="123"/>
      <c r="P268" s="123"/>
      <c r="Q268" s="123"/>
      <c r="AJ268" s="122"/>
      <c r="AW268" s="122"/>
      <c r="AX268" s="122"/>
    </row>
    <row r="269" spans="4:50" ht="12.75" customHeight="1" x14ac:dyDescent="0.25">
      <c r="D269" s="281"/>
      <c r="E269" s="278"/>
      <c r="F269" s="278"/>
      <c r="G269" s="278"/>
      <c r="H269" s="278"/>
      <c r="K269" s="254"/>
      <c r="L269" s="113"/>
      <c r="M269" s="123"/>
      <c r="N269" s="123"/>
      <c r="O269" s="123"/>
      <c r="P269" s="123"/>
      <c r="Q269" s="123"/>
      <c r="AJ269" s="122"/>
      <c r="AW269" s="122"/>
      <c r="AX269" s="122"/>
    </row>
    <row r="270" spans="4:50" ht="12.75" customHeight="1" x14ac:dyDescent="0.25">
      <c r="D270" s="281"/>
      <c r="E270" s="278"/>
      <c r="F270" s="278"/>
      <c r="G270" s="278"/>
      <c r="H270" s="278"/>
      <c r="K270" s="276"/>
      <c r="L270" s="280"/>
      <c r="AJ270" s="122"/>
      <c r="AW270" s="122"/>
      <c r="AX270" s="122"/>
    </row>
    <row r="271" spans="4:50" ht="12.75" customHeight="1" x14ac:dyDescent="0.25">
      <c r="D271" s="281"/>
      <c r="E271" s="278"/>
      <c r="F271" s="278"/>
      <c r="G271" s="278"/>
      <c r="H271" s="278"/>
      <c r="K271" s="282"/>
      <c r="L271" s="280"/>
      <c r="AJ271" s="122"/>
      <c r="AW271" s="122"/>
      <c r="AX271" s="122"/>
    </row>
    <row r="272" spans="4:50" ht="12.75" customHeight="1" x14ac:dyDescent="0.25">
      <c r="D272" s="281"/>
      <c r="E272" s="278"/>
      <c r="F272" s="278"/>
      <c r="G272" s="278"/>
      <c r="H272" s="278"/>
      <c r="K272" s="176"/>
      <c r="L272" s="122"/>
      <c r="AJ272" s="122"/>
      <c r="AW272" s="122"/>
      <c r="AX272" s="122"/>
    </row>
    <row r="273" spans="4:50" ht="12.75" customHeight="1" x14ac:dyDescent="0.25">
      <c r="D273" s="281"/>
      <c r="E273" s="278"/>
      <c r="F273" s="278"/>
      <c r="G273" s="278"/>
      <c r="H273" s="278"/>
      <c r="K273" s="176"/>
      <c r="L273" s="122"/>
      <c r="AJ273" s="122"/>
      <c r="AW273" s="122"/>
      <c r="AX273" s="122"/>
    </row>
    <row r="274" spans="4:50" ht="12.75" customHeight="1" x14ac:dyDescent="0.25">
      <c r="D274" s="281"/>
      <c r="E274" s="278"/>
      <c r="F274" s="278"/>
      <c r="G274" s="278"/>
      <c r="H274" s="278"/>
      <c r="K274" s="176"/>
      <c r="L274" s="122"/>
      <c r="AJ274" s="122"/>
      <c r="AW274" s="122"/>
      <c r="AX274" s="122"/>
    </row>
    <row r="275" spans="4:50" ht="12.75" customHeight="1" x14ac:dyDescent="0.25">
      <c r="D275" s="281"/>
      <c r="E275" s="278"/>
      <c r="F275" s="278"/>
      <c r="G275" s="278"/>
      <c r="H275" s="278"/>
      <c r="K275" s="176"/>
      <c r="L275" s="122"/>
      <c r="AJ275" s="122"/>
      <c r="AW275" s="122"/>
      <c r="AX275" s="122"/>
    </row>
    <row r="276" spans="4:50" ht="12.75" customHeight="1" x14ac:dyDescent="0.25">
      <c r="D276" s="281"/>
      <c r="E276" s="278"/>
      <c r="F276" s="278"/>
      <c r="G276" s="278"/>
      <c r="H276" s="278"/>
      <c r="K276" s="176"/>
      <c r="L276" s="122"/>
      <c r="AJ276" s="122"/>
      <c r="AW276" s="122"/>
      <c r="AX276" s="122"/>
    </row>
    <row r="277" spans="4:50" ht="12.75" customHeight="1" x14ac:dyDescent="0.25">
      <c r="D277" s="281"/>
      <c r="E277" s="278"/>
      <c r="F277" s="278"/>
      <c r="G277" s="278"/>
      <c r="H277" s="278"/>
      <c r="K277" s="176"/>
      <c r="L277" s="122"/>
      <c r="AJ277" s="122"/>
      <c r="AW277" s="122"/>
      <c r="AX277" s="122"/>
    </row>
    <row r="278" spans="4:50" ht="12.75" customHeight="1" x14ac:dyDescent="0.25">
      <c r="D278" s="281"/>
      <c r="E278" s="278"/>
      <c r="F278" s="278"/>
      <c r="G278" s="278"/>
      <c r="H278" s="278"/>
      <c r="K278" s="176"/>
      <c r="L278" s="122"/>
      <c r="AJ278" s="122"/>
      <c r="AW278" s="122"/>
      <c r="AX278" s="122"/>
    </row>
    <row r="279" spans="4:50" ht="12.75" customHeight="1" x14ac:dyDescent="0.25">
      <c r="D279" s="281"/>
      <c r="E279" s="278"/>
      <c r="F279" s="278"/>
      <c r="G279" s="278"/>
      <c r="H279" s="278"/>
      <c r="K279" s="176"/>
      <c r="L279" s="122"/>
      <c r="AJ279" s="122"/>
      <c r="AW279" s="122"/>
      <c r="AX279" s="122"/>
    </row>
    <row r="280" spans="4:50" ht="12.75" customHeight="1" x14ac:dyDescent="0.25">
      <c r="D280" s="281"/>
      <c r="E280" s="278"/>
      <c r="F280" s="278"/>
      <c r="G280" s="278"/>
      <c r="H280" s="278"/>
      <c r="K280" s="176"/>
      <c r="L280" s="122"/>
      <c r="AJ280" s="122"/>
      <c r="AW280" s="122"/>
      <c r="AX280" s="122"/>
    </row>
    <row r="281" spans="4:50" ht="12.75" customHeight="1" x14ac:dyDescent="0.25">
      <c r="D281" s="281"/>
      <c r="E281" s="278"/>
      <c r="F281" s="278"/>
      <c r="G281" s="278"/>
      <c r="H281" s="278"/>
      <c r="K281" s="176"/>
      <c r="L281" s="122"/>
      <c r="AJ281" s="122"/>
      <c r="AW281" s="122"/>
      <c r="AX281" s="122"/>
    </row>
    <row r="282" spans="4:50" ht="12.75" customHeight="1" x14ac:dyDescent="0.25">
      <c r="D282" s="281"/>
      <c r="E282" s="278"/>
      <c r="F282" s="278"/>
      <c r="G282" s="278"/>
      <c r="H282" s="278"/>
      <c r="K282" s="176"/>
      <c r="L282" s="122"/>
      <c r="AJ282" s="122"/>
      <c r="AW282" s="122"/>
      <c r="AX282" s="122"/>
    </row>
    <row r="283" spans="4:50" ht="12.75" customHeight="1" x14ac:dyDescent="0.25">
      <c r="D283" s="281"/>
      <c r="E283" s="278"/>
      <c r="F283" s="278"/>
      <c r="G283" s="278"/>
      <c r="H283" s="278"/>
      <c r="K283" s="176"/>
      <c r="L283" s="122"/>
      <c r="AJ283" s="122"/>
      <c r="AW283" s="122"/>
      <c r="AX283" s="122"/>
    </row>
    <row r="284" spans="4:50" ht="12.75" customHeight="1" x14ac:dyDescent="0.25">
      <c r="D284" s="281"/>
      <c r="E284" s="278"/>
      <c r="F284" s="278"/>
      <c r="G284" s="278"/>
      <c r="H284" s="278"/>
      <c r="AJ284" s="122"/>
      <c r="AW284" s="122"/>
      <c r="AX284" s="122"/>
    </row>
    <row r="285" spans="4:50" ht="12.75" customHeight="1" x14ac:dyDescent="0.25">
      <c r="D285" s="281"/>
      <c r="E285" s="278"/>
      <c r="F285" s="278"/>
      <c r="G285" s="278"/>
      <c r="H285" s="278"/>
      <c r="AJ285" s="122"/>
      <c r="AW285" s="122"/>
      <c r="AX285" s="122"/>
    </row>
    <row r="286" spans="4:50" ht="12.75" customHeight="1" x14ac:dyDescent="0.25">
      <c r="D286" s="281"/>
      <c r="E286" s="278"/>
      <c r="F286" s="278"/>
      <c r="G286" s="278"/>
      <c r="H286" s="278"/>
      <c r="AJ286" s="122"/>
      <c r="AW286" s="122"/>
      <c r="AX286" s="122"/>
    </row>
    <row r="287" spans="4:50" ht="12.75" customHeight="1" x14ac:dyDescent="0.25">
      <c r="D287" s="281"/>
      <c r="E287" s="278"/>
      <c r="F287" s="278"/>
      <c r="G287" s="278"/>
      <c r="H287" s="278"/>
      <c r="AJ287" s="122"/>
      <c r="AW287" s="122"/>
      <c r="AX287" s="122"/>
    </row>
    <row r="288" spans="4:50" ht="12.75" customHeight="1" x14ac:dyDescent="0.25">
      <c r="D288" s="281"/>
      <c r="E288" s="278"/>
      <c r="F288" s="278"/>
      <c r="G288" s="278"/>
      <c r="H288" s="278"/>
      <c r="AJ288" s="122"/>
      <c r="AW288" s="122"/>
      <c r="AX288" s="122"/>
    </row>
    <row r="289" spans="4:50" ht="12.75" customHeight="1" x14ac:dyDescent="0.25">
      <c r="D289" s="281"/>
      <c r="E289" s="278"/>
      <c r="F289" s="278"/>
      <c r="G289" s="278"/>
      <c r="H289" s="278"/>
      <c r="AJ289" s="122"/>
      <c r="AW289" s="122"/>
      <c r="AX289" s="122"/>
    </row>
    <row r="290" spans="4:50" ht="12.75" customHeight="1" x14ac:dyDescent="0.25">
      <c r="D290" s="281"/>
      <c r="E290" s="278"/>
      <c r="F290" s="278"/>
      <c r="G290" s="278"/>
      <c r="H290" s="278"/>
      <c r="AJ290" s="122"/>
      <c r="AW290" s="122"/>
      <c r="AX290" s="122"/>
    </row>
    <row r="291" spans="4:50" ht="12.75" customHeight="1" x14ac:dyDescent="0.25">
      <c r="D291" s="281"/>
      <c r="E291" s="278"/>
      <c r="F291" s="278"/>
      <c r="G291" s="278"/>
      <c r="H291" s="278"/>
      <c r="AJ291" s="122"/>
      <c r="AW291" s="122"/>
      <c r="AX291" s="122"/>
    </row>
    <row r="292" spans="4:50" ht="12.75" customHeight="1" x14ac:dyDescent="0.25">
      <c r="D292" s="281"/>
      <c r="E292" s="278"/>
      <c r="F292" s="278"/>
      <c r="G292" s="278"/>
      <c r="H292" s="278"/>
      <c r="AJ292" s="122"/>
      <c r="AW292" s="122"/>
      <c r="AX292" s="122"/>
    </row>
    <row r="293" spans="4:50" ht="12.75" customHeight="1" x14ac:dyDescent="0.25">
      <c r="D293" s="281"/>
      <c r="E293" s="278"/>
      <c r="F293" s="278"/>
      <c r="G293" s="278"/>
      <c r="H293" s="278"/>
      <c r="AJ293" s="122"/>
      <c r="AW293" s="122"/>
      <c r="AX293" s="122"/>
    </row>
    <row r="294" spans="4:50" ht="12.75" customHeight="1" x14ac:dyDescent="0.25">
      <c r="D294" s="281"/>
      <c r="E294" s="278"/>
      <c r="F294" s="278"/>
      <c r="G294" s="278"/>
      <c r="H294" s="278"/>
      <c r="AJ294" s="122"/>
      <c r="AW294" s="122"/>
      <c r="AX294" s="122"/>
    </row>
    <row r="295" spans="4:50" ht="12.75" customHeight="1" x14ac:dyDescent="0.25">
      <c r="D295" s="281"/>
      <c r="E295" s="278"/>
      <c r="F295" s="278"/>
      <c r="G295" s="278"/>
      <c r="H295" s="278"/>
      <c r="AJ295" s="122"/>
      <c r="AW295" s="122"/>
      <c r="AX295" s="122"/>
    </row>
    <row r="296" spans="4:50" ht="12.75" customHeight="1" x14ac:dyDescent="0.25">
      <c r="D296" s="281"/>
      <c r="E296" s="278"/>
      <c r="F296" s="278"/>
      <c r="G296" s="278"/>
      <c r="H296" s="278"/>
      <c r="AJ296" s="122"/>
      <c r="AW296" s="122"/>
      <c r="AX296" s="122"/>
    </row>
    <row r="297" spans="4:50" ht="12.75" customHeight="1" x14ac:dyDescent="0.25">
      <c r="D297" s="281"/>
      <c r="E297" s="278"/>
      <c r="F297" s="278"/>
      <c r="G297" s="278"/>
      <c r="H297" s="278"/>
      <c r="AJ297" s="122"/>
      <c r="AW297" s="122"/>
      <c r="AX297" s="122"/>
    </row>
    <row r="298" spans="4:50" ht="12.75" customHeight="1" x14ac:dyDescent="0.25">
      <c r="D298" s="281"/>
      <c r="E298" s="278"/>
      <c r="F298" s="278"/>
      <c r="G298" s="278"/>
      <c r="H298" s="278"/>
      <c r="AJ298" s="122"/>
      <c r="AW298" s="122"/>
      <c r="AX298" s="122"/>
    </row>
    <row r="299" spans="4:50" ht="12.75" customHeight="1" x14ac:dyDescent="0.25">
      <c r="D299" s="281"/>
      <c r="E299" s="278"/>
      <c r="F299" s="278"/>
      <c r="G299" s="278"/>
      <c r="H299" s="278"/>
      <c r="AJ299" s="122"/>
      <c r="AW299" s="122"/>
      <c r="AX299" s="122"/>
    </row>
    <row r="300" spans="4:50" ht="12.75" customHeight="1" x14ac:dyDescent="0.25">
      <c r="D300" s="281"/>
      <c r="E300" s="278"/>
      <c r="F300" s="278"/>
      <c r="G300" s="278"/>
      <c r="H300" s="278"/>
      <c r="AJ300" s="122"/>
      <c r="AW300" s="122"/>
      <c r="AX300" s="122"/>
    </row>
    <row r="301" spans="4:50" ht="12.75" customHeight="1" x14ac:dyDescent="0.25">
      <c r="D301" s="281"/>
      <c r="E301" s="278"/>
      <c r="F301" s="278"/>
      <c r="G301" s="278"/>
      <c r="H301" s="278"/>
      <c r="AJ301" s="122"/>
      <c r="AW301" s="122"/>
      <c r="AX301" s="122"/>
    </row>
    <row r="302" spans="4:50" ht="12.75" customHeight="1" x14ac:dyDescent="0.25">
      <c r="D302" s="281"/>
      <c r="E302" s="278"/>
      <c r="F302" s="278"/>
      <c r="G302" s="278"/>
      <c r="H302" s="278"/>
      <c r="AJ302" s="122"/>
      <c r="AW302" s="122"/>
      <c r="AX302" s="122"/>
    </row>
    <row r="303" spans="4:50" ht="12.75" customHeight="1" x14ac:dyDescent="0.25">
      <c r="D303" s="281"/>
      <c r="E303" s="278"/>
      <c r="F303" s="278"/>
      <c r="G303" s="278"/>
      <c r="H303" s="278"/>
      <c r="AJ303" s="122"/>
      <c r="AW303" s="122"/>
      <c r="AX303" s="122"/>
    </row>
    <row r="304" spans="4:50" ht="12.75" customHeight="1" x14ac:dyDescent="0.25">
      <c r="D304" s="281"/>
      <c r="E304" s="278"/>
      <c r="F304" s="278"/>
      <c r="G304" s="278"/>
      <c r="H304" s="278"/>
      <c r="AJ304" s="122"/>
      <c r="AW304" s="122"/>
      <c r="AX304" s="122"/>
    </row>
    <row r="305" spans="4:50" ht="12.75" customHeight="1" x14ac:dyDescent="0.25">
      <c r="D305" s="281"/>
      <c r="E305" s="278"/>
      <c r="F305" s="278"/>
      <c r="G305" s="278"/>
      <c r="H305" s="278"/>
      <c r="AJ305" s="122"/>
      <c r="AW305" s="122"/>
      <c r="AX305" s="122"/>
    </row>
    <row r="306" spans="4:50" ht="12.75" customHeight="1" x14ac:dyDescent="0.25">
      <c r="D306" s="281"/>
      <c r="E306" s="278"/>
      <c r="F306" s="278"/>
      <c r="G306" s="278"/>
      <c r="H306" s="278"/>
      <c r="AJ306" s="122"/>
      <c r="AW306" s="122"/>
      <c r="AX306" s="122"/>
    </row>
    <row r="307" spans="4:50" ht="12.75" customHeight="1" x14ac:dyDescent="0.25">
      <c r="D307" s="281"/>
      <c r="E307" s="278"/>
      <c r="F307" s="278"/>
      <c r="G307" s="278"/>
      <c r="H307" s="278"/>
      <c r="AJ307" s="122"/>
      <c r="AW307" s="122"/>
      <c r="AX307" s="122"/>
    </row>
    <row r="308" spans="4:50" ht="12.75" customHeight="1" x14ac:dyDescent="0.25">
      <c r="D308" s="281"/>
      <c r="E308" s="278"/>
      <c r="F308" s="278"/>
      <c r="G308" s="278"/>
      <c r="H308" s="278"/>
      <c r="AJ308" s="122"/>
      <c r="AW308" s="122"/>
      <c r="AX308" s="122"/>
    </row>
    <row r="309" spans="4:50" ht="12.75" customHeight="1" x14ac:dyDescent="0.25">
      <c r="D309" s="281"/>
      <c r="E309" s="278"/>
      <c r="F309" s="278"/>
      <c r="G309" s="278"/>
      <c r="H309" s="278"/>
      <c r="AJ309" s="122"/>
      <c r="AW309" s="122"/>
      <c r="AX309" s="122"/>
    </row>
    <row r="310" spans="4:50" ht="12.75" customHeight="1" x14ac:dyDescent="0.25">
      <c r="D310" s="281"/>
      <c r="E310" s="278"/>
      <c r="F310" s="278"/>
      <c r="G310" s="278"/>
      <c r="H310" s="278"/>
      <c r="AJ310" s="122"/>
      <c r="AW310" s="122"/>
      <c r="AX310" s="122"/>
    </row>
    <row r="311" spans="4:50" ht="12.75" customHeight="1" x14ac:dyDescent="0.25">
      <c r="D311" s="281"/>
      <c r="E311" s="278"/>
      <c r="F311" s="278"/>
      <c r="G311" s="278"/>
      <c r="H311" s="278"/>
      <c r="AJ311" s="122"/>
      <c r="AW311" s="122"/>
      <c r="AX311" s="122"/>
    </row>
    <row r="312" spans="4:50" ht="12.75" customHeight="1" x14ac:dyDescent="0.25">
      <c r="D312" s="281"/>
      <c r="E312" s="278"/>
      <c r="F312" s="278"/>
      <c r="G312" s="278"/>
      <c r="H312" s="278"/>
      <c r="AJ312" s="122"/>
      <c r="AW312" s="122"/>
      <c r="AX312" s="122"/>
    </row>
    <row r="313" spans="4:50" ht="12.75" customHeight="1" x14ac:dyDescent="0.25">
      <c r="D313" s="281"/>
      <c r="E313" s="278"/>
      <c r="F313" s="278"/>
      <c r="G313" s="278"/>
      <c r="H313" s="278"/>
      <c r="AJ313" s="122"/>
      <c r="AW313" s="122"/>
      <c r="AX313" s="122"/>
    </row>
    <row r="314" spans="4:50" ht="12.75" customHeight="1" x14ac:dyDescent="0.25">
      <c r="D314" s="281"/>
      <c r="E314" s="278"/>
      <c r="F314" s="278"/>
      <c r="G314" s="278"/>
      <c r="H314" s="278"/>
      <c r="AJ314" s="122"/>
      <c r="AW314" s="122"/>
      <c r="AX314" s="122"/>
    </row>
    <row r="315" spans="4:50" ht="12.75" customHeight="1" x14ac:dyDescent="0.25">
      <c r="D315" s="281"/>
      <c r="E315" s="278"/>
      <c r="F315" s="278"/>
      <c r="G315" s="278"/>
      <c r="H315" s="278"/>
      <c r="AJ315" s="122"/>
      <c r="AW315" s="122"/>
      <c r="AX315" s="122"/>
    </row>
    <row r="316" spans="4:50" ht="12.75" customHeight="1" x14ac:dyDescent="0.25">
      <c r="D316" s="281"/>
      <c r="E316" s="278"/>
      <c r="F316" s="278"/>
      <c r="G316" s="278"/>
      <c r="H316" s="278"/>
      <c r="AJ316" s="122"/>
      <c r="AW316" s="122"/>
      <c r="AX316" s="122"/>
    </row>
    <row r="317" spans="4:50" ht="12.75" customHeight="1" x14ac:dyDescent="0.25">
      <c r="D317" s="281"/>
      <c r="E317" s="278"/>
      <c r="F317" s="278"/>
      <c r="G317" s="278"/>
      <c r="H317" s="278"/>
      <c r="AJ317" s="122"/>
      <c r="AW317" s="122"/>
      <c r="AX317" s="122"/>
    </row>
    <row r="318" spans="4:50" ht="12.75" customHeight="1" x14ac:dyDescent="0.25">
      <c r="D318" s="281"/>
      <c r="E318" s="278"/>
      <c r="F318" s="278"/>
      <c r="G318" s="278"/>
      <c r="H318" s="278"/>
      <c r="AJ318" s="122"/>
      <c r="AW318" s="122"/>
      <c r="AX318" s="122"/>
    </row>
    <row r="319" spans="4:50" ht="12.75" customHeight="1" x14ac:dyDescent="0.25">
      <c r="D319" s="281"/>
      <c r="E319" s="278"/>
      <c r="F319" s="278"/>
      <c r="G319" s="278"/>
      <c r="H319" s="278"/>
      <c r="AJ319" s="122"/>
      <c r="AW319" s="122"/>
      <c r="AX319" s="122"/>
    </row>
    <row r="320" spans="4:50" ht="12.75" customHeight="1" x14ac:dyDescent="0.25">
      <c r="D320" s="281"/>
      <c r="E320" s="278"/>
      <c r="F320" s="278"/>
      <c r="G320" s="278"/>
      <c r="H320" s="278"/>
      <c r="AJ320" s="122"/>
      <c r="AW320" s="122"/>
      <c r="AX320" s="122"/>
    </row>
    <row r="321" spans="4:50" ht="12.75" customHeight="1" x14ac:dyDescent="0.25">
      <c r="D321" s="281"/>
      <c r="E321" s="278"/>
      <c r="F321" s="278"/>
      <c r="G321" s="278"/>
      <c r="H321" s="278"/>
      <c r="AJ321" s="122"/>
      <c r="AW321" s="122"/>
      <c r="AX321" s="122"/>
    </row>
    <row r="322" spans="4:50" ht="12.75" customHeight="1" x14ac:dyDescent="0.25">
      <c r="D322" s="281"/>
      <c r="E322" s="278"/>
      <c r="F322" s="278"/>
      <c r="G322" s="278"/>
      <c r="H322" s="278"/>
      <c r="AJ322" s="122"/>
      <c r="AW322" s="122"/>
      <c r="AX322" s="122"/>
    </row>
    <row r="323" spans="4:50" ht="12.75" customHeight="1" x14ac:dyDescent="0.25">
      <c r="D323" s="281"/>
      <c r="E323" s="278"/>
      <c r="F323" s="278"/>
      <c r="G323" s="278"/>
      <c r="H323" s="278"/>
      <c r="AJ323" s="122"/>
      <c r="AW323" s="122"/>
      <c r="AX323" s="122"/>
    </row>
    <row r="324" spans="4:50" ht="12.75" customHeight="1" x14ac:dyDescent="0.25">
      <c r="D324" s="281"/>
      <c r="E324" s="278"/>
      <c r="F324" s="278"/>
      <c r="G324" s="278"/>
      <c r="H324" s="278"/>
      <c r="AJ324" s="122"/>
      <c r="AW324" s="122"/>
      <c r="AX324" s="122"/>
    </row>
    <row r="325" spans="4:50" ht="12.75" customHeight="1" x14ac:dyDescent="0.25">
      <c r="D325" s="281"/>
      <c r="E325" s="278"/>
      <c r="F325" s="278"/>
      <c r="G325" s="278"/>
      <c r="H325" s="278"/>
      <c r="AJ325" s="122"/>
      <c r="AW325" s="122"/>
      <c r="AX325" s="122"/>
    </row>
    <row r="326" spans="4:50" ht="12.75" customHeight="1" x14ac:dyDescent="0.25">
      <c r="D326" s="281"/>
      <c r="E326" s="278"/>
      <c r="F326" s="278"/>
      <c r="G326" s="278"/>
      <c r="H326" s="278"/>
      <c r="AJ326" s="122"/>
      <c r="AW326" s="122"/>
      <c r="AX326" s="122"/>
    </row>
    <row r="327" spans="4:50" ht="12.75" customHeight="1" x14ac:dyDescent="0.25">
      <c r="D327" s="281"/>
      <c r="E327" s="278"/>
      <c r="F327" s="278"/>
      <c r="G327" s="278"/>
      <c r="H327" s="278"/>
      <c r="AJ327" s="122"/>
      <c r="AW327" s="122"/>
      <c r="AX327" s="122"/>
    </row>
    <row r="328" spans="4:50" ht="12.75" customHeight="1" x14ac:dyDescent="0.25">
      <c r="D328" s="281"/>
      <c r="E328" s="278"/>
      <c r="F328" s="278"/>
      <c r="G328" s="278"/>
      <c r="H328" s="278"/>
      <c r="AJ328" s="122"/>
      <c r="AW328" s="122"/>
      <c r="AX328" s="122"/>
    </row>
    <row r="329" spans="4:50" ht="12.75" customHeight="1" x14ac:dyDescent="0.25">
      <c r="D329" s="281"/>
      <c r="E329" s="278"/>
      <c r="F329" s="278"/>
      <c r="G329" s="278"/>
      <c r="H329" s="278"/>
      <c r="AJ329" s="122"/>
      <c r="AW329" s="122"/>
      <c r="AX329" s="122"/>
    </row>
    <row r="330" spans="4:50" ht="12.75" customHeight="1" x14ac:dyDescent="0.25">
      <c r="D330" s="281"/>
      <c r="E330" s="278"/>
      <c r="F330" s="278"/>
      <c r="G330" s="278"/>
      <c r="H330" s="278"/>
      <c r="AJ330" s="122"/>
      <c r="AW330" s="122"/>
      <c r="AX330" s="122"/>
    </row>
    <row r="331" spans="4:50" ht="12.75" customHeight="1" x14ac:dyDescent="0.25">
      <c r="D331" s="281"/>
      <c r="E331" s="278"/>
      <c r="F331" s="278"/>
      <c r="G331" s="278"/>
      <c r="H331" s="278"/>
      <c r="AJ331" s="122"/>
      <c r="AW331" s="122"/>
      <c r="AX331" s="122"/>
    </row>
    <row r="332" spans="4:50" ht="12.75" customHeight="1" x14ac:dyDescent="0.25">
      <c r="D332" s="281"/>
      <c r="E332" s="278"/>
      <c r="F332" s="278"/>
      <c r="G332" s="278"/>
      <c r="H332" s="278"/>
      <c r="AJ332" s="122"/>
      <c r="AW332" s="122"/>
      <c r="AX332" s="122"/>
    </row>
    <row r="333" spans="4:50" ht="12.75" customHeight="1" x14ac:dyDescent="0.25">
      <c r="D333" s="281"/>
      <c r="E333" s="278"/>
      <c r="F333" s="278"/>
      <c r="G333" s="278"/>
      <c r="H333" s="278"/>
      <c r="AJ333" s="122"/>
      <c r="AW333" s="122"/>
      <c r="AX333" s="122"/>
    </row>
    <row r="334" spans="4:50" ht="12.75" customHeight="1" x14ac:dyDescent="0.25">
      <c r="D334" s="281"/>
      <c r="E334" s="278"/>
      <c r="F334" s="278"/>
      <c r="G334" s="278"/>
      <c r="H334" s="278"/>
      <c r="AJ334" s="122"/>
      <c r="AW334" s="122"/>
      <c r="AX334" s="122"/>
    </row>
    <row r="335" spans="4:50" ht="12.75" customHeight="1" x14ac:dyDescent="0.25">
      <c r="D335" s="281"/>
      <c r="E335" s="278"/>
      <c r="F335" s="278"/>
      <c r="G335" s="278"/>
      <c r="H335" s="278"/>
      <c r="AJ335" s="122"/>
      <c r="AW335" s="122"/>
      <c r="AX335" s="122"/>
    </row>
    <row r="336" spans="4:50" ht="12.75" customHeight="1" x14ac:dyDescent="0.25">
      <c r="D336" s="281"/>
      <c r="E336" s="278"/>
      <c r="F336" s="278"/>
      <c r="G336" s="278"/>
      <c r="H336" s="278"/>
      <c r="AJ336" s="122"/>
      <c r="AW336" s="122"/>
      <c r="AX336" s="122"/>
    </row>
    <row r="337" spans="4:50" ht="12.75" customHeight="1" x14ac:dyDescent="0.25">
      <c r="D337" s="281"/>
      <c r="E337" s="278"/>
      <c r="F337" s="278"/>
      <c r="G337" s="278"/>
      <c r="H337" s="278"/>
      <c r="AJ337" s="122"/>
      <c r="AW337" s="122"/>
      <c r="AX337" s="122"/>
    </row>
    <row r="338" spans="4:50" ht="12.75" customHeight="1" x14ac:dyDescent="0.25">
      <c r="D338" s="281"/>
      <c r="E338" s="278"/>
      <c r="F338" s="278"/>
      <c r="G338" s="278"/>
      <c r="H338" s="278"/>
      <c r="AJ338" s="122"/>
      <c r="AW338" s="122"/>
      <c r="AX338" s="122"/>
    </row>
    <row r="339" spans="4:50" ht="12.75" customHeight="1" x14ac:dyDescent="0.25">
      <c r="D339" s="281"/>
      <c r="E339" s="278"/>
      <c r="F339" s="278"/>
      <c r="G339" s="278"/>
      <c r="H339" s="278"/>
      <c r="AJ339" s="122"/>
      <c r="AW339" s="122"/>
      <c r="AX339" s="122"/>
    </row>
    <row r="340" spans="4:50" ht="12.75" customHeight="1" x14ac:dyDescent="0.25">
      <c r="D340" s="281"/>
      <c r="E340" s="278"/>
      <c r="F340" s="278"/>
      <c r="G340" s="278"/>
      <c r="H340" s="278"/>
      <c r="AJ340" s="122"/>
      <c r="AW340" s="122"/>
      <c r="AX340" s="122"/>
    </row>
    <row r="341" spans="4:50" ht="12.75" customHeight="1" x14ac:dyDescent="0.25">
      <c r="D341" s="281"/>
      <c r="E341" s="278"/>
      <c r="F341" s="278"/>
      <c r="G341" s="278"/>
      <c r="H341" s="278"/>
      <c r="AJ341" s="122"/>
      <c r="AW341" s="122"/>
      <c r="AX341" s="122"/>
    </row>
    <row r="342" spans="4:50" ht="12.75" customHeight="1" x14ac:dyDescent="0.25">
      <c r="D342" s="281"/>
      <c r="E342" s="278"/>
      <c r="F342" s="278"/>
      <c r="G342" s="278"/>
      <c r="H342" s="278"/>
      <c r="AJ342" s="122"/>
      <c r="AW342" s="122"/>
      <c r="AX342" s="122"/>
    </row>
    <row r="343" spans="4:50" ht="12.75" customHeight="1" x14ac:dyDescent="0.25">
      <c r="D343" s="281"/>
      <c r="E343" s="278"/>
      <c r="F343" s="278"/>
      <c r="G343" s="278"/>
      <c r="H343" s="278"/>
      <c r="AJ343" s="122"/>
      <c r="AW343" s="122"/>
      <c r="AX343" s="122"/>
    </row>
    <row r="344" spans="4:50" ht="12.75" customHeight="1" x14ac:dyDescent="0.25">
      <c r="D344" s="281"/>
      <c r="E344" s="278"/>
      <c r="F344" s="278"/>
      <c r="G344" s="278"/>
      <c r="H344" s="278"/>
      <c r="AJ344" s="122"/>
      <c r="AW344" s="122"/>
      <c r="AX344" s="122"/>
    </row>
    <row r="345" spans="4:50" ht="12.75" customHeight="1" x14ac:dyDescent="0.25">
      <c r="D345" s="281"/>
      <c r="E345" s="278"/>
      <c r="F345" s="278"/>
      <c r="G345" s="278"/>
      <c r="H345" s="278"/>
      <c r="AJ345" s="122"/>
      <c r="AW345" s="122"/>
      <c r="AX345" s="122"/>
    </row>
    <row r="346" spans="4:50" ht="12.75" customHeight="1" x14ac:dyDescent="0.25">
      <c r="D346" s="281"/>
      <c r="E346" s="278"/>
      <c r="F346" s="278"/>
      <c r="G346" s="278"/>
      <c r="H346" s="278"/>
      <c r="AJ346" s="122"/>
      <c r="AW346" s="122"/>
      <c r="AX346" s="122"/>
    </row>
    <row r="347" spans="4:50" ht="12.75" customHeight="1" x14ac:dyDescent="0.25">
      <c r="D347" s="281"/>
      <c r="E347" s="278"/>
      <c r="F347" s="278"/>
      <c r="G347" s="278"/>
      <c r="H347" s="278"/>
      <c r="AJ347" s="122"/>
      <c r="AW347" s="122"/>
      <c r="AX347" s="122"/>
    </row>
    <row r="348" spans="4:50" ht="12.75" customHeight="1" x14ac:dyDescent="0.25">
      <c r="D348" s="281"/>
      <c r="E348" s="278"/>
      <c r="F348" s="278"/>
      <c r="G348" s="278"/>
      <c r="H348" s="278"/>
      <c r="AJ348" s="122"/>
      <c r="AW348" s="122"/>
      <c r="AX348" s="122"/>
    </row>
    <row r="349" spans="4:50" ht="12.75" customHeight="1" x14ac:dyDescent="0.25">
      <c r="D349" s="281"/>
      <c r="E349" s="278"/>
      <c r="F349" s="278"/>
      <c r="G349" s="278"/>
      <c r="H349" s="278"/>
      <c r="AJ349" s="122"/>
      <c r="AW349" s="122"/>
      <c r="AX349" s="122"/>
    </row>
    <row r="350" spans="4:50" ht="12.75" customHeight="1" x14ac:dyDescent="0.25">
      <c r="D350" s="281"/>
      <c r="E350" s="278"/>
      <c r="F350" s="278"/>
      <c r="G350" s="278"/>
      <c r="H350" s="278"/>
      <c r="AJ350" s="122"/>
      <c r="AW350" s="122"/>
      <c r="AX350" s="122"/>
    </row>
    <row r="351" spans="4:50" ht="12.75" customHeight="1" x14ac:dyDescent="0.25">
      <c r="D351" s="281"/>
      <c r="E351" s="278"/>
      <c r="F351" s="278"/>
      <c r="G351" s="278"/>
      <c r="H351" s="278"/>
      <c r="AJ351" s="122"/>
      <c r="AW351" s="122"/>
      <c r="AX351" s="122"/>
    </row>
    <row r="352" spans="4:50" ht="12.75" customHeight="1" x14ac:dyDescent="0.25">
      <c r="D352" s="281"/>
      <c r="E352" s="278"/>
      <c r="F352" s="278"/>
      <c r="G352" s="278"/>
      <c r="H352" s="278"/>
      <c r="AJ352" s="122"/>
      <c r="AW352" s="122"/>
      <c r="AX352" s="122"/>
    </row>
    <row r="353" spans="4:50" ht="12.75" customHeight="1" x14ac:dyDescent="0.25">
      <c r="D353" s="281"/>
      <c r="E353" s="278"/>
      <c r="F353" s="278"/>
      <c r="G353" s="278"/>
      <c r="H353" s="278"/>
      <c r="AJ353" s="122"/>
      <c r="AW353" s="122"/>
      <c r="AX353" s="122"/>
    </row>
    <row r="354" spans="4:50" ht="12.75" customHeight="1" x14ac:dyDescent="0.25">
      <c r="D354" s="281"/>
      <c r="E354" s="278"/>
      <c r="F354" s="278"/>
      <c r="G354" s="278"/>
      <c r="H354" s="278"/>
      <c r="AJ354" s="122"/>
      <c r="AW354" s="122"/>
      <c r="AX354" s="122"/>
    </row>
    <row r="355" spans="4:50" ht="12.75" customHeight="1" x14ac:dyDescent="0.25">
      <c r="D355" s="281"/>
      <c r="E355" s="278"/>
      <c r="F355" s="278"/>
      <c r="G355" s="278"/>
      <c r="H355" s="278"/>
      <c r="AJ355" s="122"/>
      <c r="AW355" s="122"/>
      <c r="AX355" s="122"/>
    </row>
    <row r="356" spans="4:50" ht="12.75" customHeight="1" x14ac:dyDescent="0.25">
      <c r="D356" s="281"/>
      <c r="E356" s="278"/>
      <c r="F356" s="278"/>
      <c r="G356" s="278"/>
      <c r="H356" s="278"/>
      <c r="AJ356" s="122"/>
      <c r="AW356" s="122"/>
      <c r="AX356" s="122"/>
    </row>
    <row r="357" spans="4:50" ht="12.75" customHeight="1" x14ac:dyDescent="0.25">
      <c r="D357" s="281"/>
      <c r="E357" s="278"/>
      <c r="F357" s="278"/>
      <c r="G357" s="278"/>
      <c r="H357" s="278"/>
      <c r="AJ357" s="122"/>
      <c r="AW357" s="122"/>
      <c r="AX357" s="122"/>
    </row>
    <row r="358" spans="4:50" ht="12.75" customHeight="1" x14ac:dyDescent="0.25">
      <c r="D358" s="281"/>
      <c r="E358" s="278"/>
      <c r="F358" s="278"/>
      <c r="G358" s="278"/>
      <c r="H358" s="278"/>
      <c r="AJ358" s="122"/>
      <c r="AW358" s="122"/>
      <c r="AX358" s="122"/>
    </row>
    <row r="359" spans="4:50" ht="12.75" customHeight="1" x14ac:dyDescent="0.25">
      <c r="D359" s="281"/>
      <c r="E359" s="278"/>
      <c r="F359" s="278"/>
      <c r="G359" s="278"/>
      <c r="H359" s="278"/>
      <c r="AJ359" s="122"/>
      <c r="AW359" s="122"/>
      <c r="AX359" s="122"/>
    </row>
    <row r="360" spans="4:50" ht="12.75" customHeight="1" x14ac:dyDescent="0.25">
      <c r="D360" s="281"/>
      <c r="E360" s="278"/>
      <c r="F360" s="278"/>
      <c r="G360" s="278"/>
      <c r="H360" s="278"/>
      <c r="AJ360" s="122"/>
      <c r="AW360" s="122"/>
      <c r="AX360" s="122"/>
    </row>
    <row r="361" spans="4:50" ht="12.75" customHeight="1" x14ac:dyDescent="0.25">
      <c r="D361" s="281"/>
      <c r="E361" s="278"/>
      <c r="F361" s="278"/>
      <c r="G361" s="278"/>
      <c r="H361" s="278"/>
      <c r="AJ361" s="122"/>
      <c r="AW361" s="122"/>
      <c r="AX361" s="122"/>
    </row>
    <row r="362" spans="4:50" ht="12.75" customHeight="1" x14ac:dyDescent="0.25">
      <c r="D362" s="281"/>
      <c r="E362" s="278"/>
      <c r="F362" s="278"/>
      <c r="G362" s="278"/>
      <c r="H362" s="278"/>
      <c r="AJ362" s="122"/>
      <c r="AW362" s="122"/>
      <c r="AX362" s="122"/>
    </row>
    <row r="363" spans="4:50" ht="12.75" customHeight="1" x14ac:dyDescent="0.25">
      <c r="D363" s="281"/>
      <c r="E363" s="278"/>
      <c r="F363" s="278"/>
      <c r="G363" s="278"/>
      <c r="H363" s="278"/>
      <c r="AJ363" s="122"/>
      <c r="AW363" s="122"/>
      <c r="AX363" s="122"/>
    </row>
    <row r="364" spans="4:50" ht="12.75" customHeight="1" x14ac:dyDescent="0.25">
      <c r="D364" s="281"/>
      <c r="E364" s="278"/>
      <c r="F364" s="278"/>
      <c r="G364" s="278"/>
      <c r="H364" s="278"/>
      <c r="AJ364" s="122"/>
      <c r="AW364" s="122"/>
      <c r="AX364" s="122"/>
    </row>
    <row r="365" spans="4:50" ht="12.75" customHeight="1" x14ac:dyDescent="0.25">
      <c r="D365" s="281"/>
      <c r="E365" s="278"/>
      <c r="F365" s="278"/>
      <c r="G365" s="278"/>
      <c r="H365" s="278"/>
      <c r="AJ365" s="122"/>
      <c r="AW365" s="122"/>
      <c r="AX365" s="122"/>
    </row>
    <row r="366" spans="4:50" ht="12.75" customHeight="1" x14ac:dyDescent="0.25">
      <c r="D366" s="281"/>
      <c r="E366" s="278"/>
      <c r="F366" s="278"/>
      <c r="G366" s="278"/>
      <c r="H366" s="278"/>
      <c r="AJ366" s="122"/>
      <c r="AW366" s="122"/>
      <c r="AX366" s="122"/>
    </row>
    <row r="367" spans="4:50" ht="12.75" customHeight="1" x14ac:dyDescent="0.25">
      <c r="D367" s="281"/>
      <c r="E367" s="278"/>
      <c r="F367" s="278"/>
      <c r="G367" s="278"/>
      <c r="H367" s="278"/>
      <c r="AJ367" s="122"/>
      <c r="AW367" s="122"/>
      <c r="AX367" s="122"/>
    </row>
    <row r="368" spans="4:50" ht="12.75" customHeight="1" x14ac:dyDescent="0.25">
      <c r="D368" s="281"/>
      <c r="E368" s="278"/>
      <c r="F368" s="278"/>
      <c r="G368" s="278"/>
      <c r="H368" s="278"/>
      <c r="AJ368" s="122"/>
      <c r="AW368" s="122"/>
      <c r="AX368" s="122"/>
    </row>
    <row r="369" spans="4:50" ht="12.75" customHeight="1" x14ac:dyDescent="0.25">
      <c r="D369" s="281"/>
      <c r="E369" s="278"/>
      <c r="F369" s="278"/>
      <c r="G369" s="278"/>
      <c r="H369" s="278"/>
      <c r="AJ369" s="122"/>
      <c r="AW369" s="122"/>
      <c r="AX369" s="122"/>
    </row>
    <row r="370" spans="4:50" ht="12.75" customHeight="1" x14ac:dyDescent="0.25">
      <c r="D370" s="281"/>
      <c r="E370" s="278"/>
      <c r="F370" s="278"/>
      <c r="G370" s="278"/>
      <c r="H370" s="278"/>
      <c r="AJ370" s="122"/>
      <c r="AW370" s="122"/>
      <c r="AX370" s="122"/>
    </row>
    <row r="371" spans="4:50" ht="12.75" customHeight="1" x14ac:dyDescent="0.25">
      <c r="D371" s="281"/>
      <c r="E371" s="278"/>
      <c r="F371" s="278"/>
      <c r="G371" s="278"/>
      <c r="H371" s="278"/>
      <c r="AJ371" s="122"/>
      <c r="AW371" s="122"/>
      <c r="AX371" s="122"/>
    </row>
    <row r="372" spans="4:50" ht="12.75" customHeight="1" x14ac:dyDescent="0.25">
      <c r="D372" s="281"/>
      <c r="E372" s="278"/>
      <c r="F372" s="278"/>
      <c r="G372" s="278"/>
      <c r="H372" s="278"/>
      <c r="AJ372" s="122"/>
      <c r="AW372" s="122"/>
      <c r="AX372" s="122"/>
    </row>
    <row r="373" spans="4:50" ht="12.75" customHeight="1" x14ac:dyDescent="0.25">
      <c r="D373" s="281"/>
      <c r="E373" s="278"/>
      <c r="F373" s="278"/>
      <c r="G373" s="278"/>
      <c r="H373" s="278"/>
      <c r="AJ373" s="122"/>
      <c r="AW373" s="122"/>
      <c r="AX373" s="122"/>
    </row>
    <row r="374" spans="4:50" ht="12.75" customHeight="1" x14ac:dyDescent="0.25">
      <c r="D374" s="281"/>
      <c r="E374" s="278"/>
      <c r="F374" s="278"/>
      <c r="G374" s="278"/>
      <c r="H374" s="278"/>
      <c r="AJ374" s="122"/>
      <c r="AW374" s="122"/>
      <c r="AX374" s="122"/>
    </row>
    <row r="375" spans="4:50" ht="12.75" customHeight="1" x14ac:dyDescent="0.25">
      <c r="D375" s="281"/>
      <c r="E375" s="278"/>
      <c r="F375" s="278"/>
      <c r="G375" s="278"/>
      <c r="H375" s="278"/>
      <c r="AJ375" s="122"/>
      <c r="AW375" s="122"/>
      <c r="AX375" s="122"/>
    </row>
    <row r="376" spans="4:50" ht="12.75" customHeight="1" x14ac:dyDescent="0.25">
      <c r="D376" s="281"/>
      <c r="E376" s="278"/>
      <c r="F376" s="278"/>
      <c r="G376" s="278"/>
      <c r="H376" s="278"/>
      <c r="AJ376" s="122"/>
      <c r="AW376" s="122"/>
      <c r="AX376" s="122"/>
    </row>
    <row r="377" spans="4:50" ht="12.75" customHeight="1" x14ac:dyDescent="0.25">
      <c r="D377" s="281"/>
      <c r="E377" s="278"/>
      <c r="F377" s="278"/>
      <c r="G377" s="278"/>
      <c r="H377" s="278"/>
      <c r="AJ377" s="122"/>
      <c r="AW377" s="122"/>
      <c r="AX377" s="122"/>
    </row>
    <row r="378" spans="4:50" ht="12.75" customHeight="1" x14ac:dyDescent="0.25">
      <c r="D378" s="281"/>
      <c r="E378" s="278"/>
      <c r="F378" s="278"/>
      <c r="G378" s="278"/>
      <c r="H378" s="278"/>
      <c r="AJ378" s="122"/>
      <c r="AW378" s="122"/>
      <c r="AX378" s="122"/>
    </row>
    <row r="379" spans="4:50" ht="12.75" customHeight="1" x14ac:dyDescent="0.25">
      <c r="D379" s="281"/>
      <c r="E379" s="278"/>
      <c r="F379" s="278"/>
      <c r="G379" s="278"/>
      <c r="H379" s="278"/>
      <c r="AJ379" s="122"/>
      <c r="AW379" s="122"/>
      <c r="AX379" s="122"/>
    </row>
    <row r="380" spans="4:50" ht="12.75" customHeight="1" x14ac:dyDescent="0.25">
      <c r="D380" s="281"/>
      <c r="E380" s="278"/>
      <c r="F380" s="278"/>
      <c r="G380" s="278"/>
      <c r="H380" s="278"/>
      <c r="AJ380" s="122"/>
      <c r="AW380" s="122"/>
      <c r="AX380" s="122"/>
    </row>
    <row r="381" spans="4:50" ht="12.75" customHeight="1" x14ac:dyDescent="0.25">
      <c r="D381" s="281"/>
      <c r="E381" s="278"/>
      <c r="F381" s="278"/>
      <c r="G381" s="278"/>
      <c r="H381" s="278"/>
      <c r="AJ381" s="122"/>
      <c r="AW381" s="122"/>
      <c r="AX381" s="122"/>
    </row>
    <row r="382" spans="4:50" ht="12.75" customHeight="1" x14ac:dyDescent="0.25">
      <c r="D382" s="281"/>
      <c r="E382" s="278"/>
      <c r="F382" s="278"/>
      <c r="G382" s="278"/>
      <c r="H382" s="278"/>
      <c r="AJ382" s="122"/>
      <c r="AW382" s="122"/>
      <c r="AX382" s="122"/>
    </row>
    <row r="383" spans="4:50" ht="12.75" customHeight="1" x14ac:dyDescent="0.25">
      <c r="D383" s="281"/>
      <c r="E383" s="278"/>
      <c r="F383" s="278"/>
      <c r="G383" s="278"/>
      <c r="H383" s="278"/>
      <c r="AJ383" s="122"/>
      <c r="AW383" s="122"/>
      <c r="AX383" s="122"/>
    </row>
    <row r="384" spans="4:50" ht="12.75" customHeight="1" x14ac:dyDescent="0.25">
      <c r="D384" s="281"/>
      <c r="E384" s="278"/>
      <c r="F384" s="278"/>
      <c r="G384" s="278"/>
      <c r="H384" s="278"/>
      <c r="AJ384" s="122"/>
      <c r="AW384" s="122"/>
      <c r="AX384" s="122"/>
    </row>
    <row r="385" spans="4:53" ht="12.75" customHeight="1" x14ac:dyDescent="0.25">
      <c r="D385" s="281"/>
      <c r="E385" s="278"/>
      <c r="F385" s="278"/>
      <c r="G385" s="278"/>
      <c r="H385" s="278"/>
      <c r="AJ385" s="122"/>
      <c r="AW385" s="122"/>
      <c r="AX385" s="122"/>
    </row>
    <row r="386" spans="4:53" ht="12.75" customHeight="1" x14ac:dyDescent="0.25">
      <c r="D386" s="281"/>
      <c r="E386" s="278"/>
      <c r="F386" s="278"/>
      <c r="G386" s="278"/>
      <c r="H386" s="278"/>
      <c r="AJ386" s="122"/>
      <c r="AW386" s="122"/>
      <c r="AX386" s="122"/>
    </row>
    <row r="387" spans="4:53" ht="12.75" customHeight="1" x14ac:dyDescent="0.25">
      <c r="D387" s="281"/>
      <c r="E387" s="278"/>
      <c r="F387" s="278"/>
      <c r="G387" s="278"/>
      <c r="H387" s="278"/>
      <c r="AJ387" s="122"/>
      <c r="AW387" s="122"/>
      <c r="AX387" s="122"/>
    </row>
    <row r="388" spans="4:53" ht="12.75" customHeight="1" x14ac:dyDescent="0.25">
      <c r="D388" s="281"/>
      <c r="E388" s="278"/>
      <c r="F388" s="278"/>
      <c r="G388" s="278"/>
      <c r="H388" s="278"/>
      <c r="AJ388" s="122"/>
      <c r="AW388" s="122"/>
      <c r="AX388" s="122"/>
    </row>
    <row r="389" spans="4:53" ht="12.75" customHeight="1" x14ac:dyDescent="0.25">
      <c r="D389" s="281"/>
      <c r="E389" s="278"/>
      <c r="F389" s="278"/>
      <c r="G389" s="278"/>
      <c r="H389" s="278"/>
      <c r="AJ389" s="122"/>
      <c r="AW389" s="122"/>
      <c r="AX389" s="122"/>
    </row>
    <row r="390" spans="4:53" ht="12.75" customHeight="1" x14ac:dyDescent="0.25">
      <c r="D390" s="281"/>
      <c r="E390" s="278"/>
      <c r="F390" s="278"/>
      <c r="G390" s="278"/>
      <c r="H390" s="278"/>
      <c r="AJ390" s="122"/>
      <c r="AW390" s="122"/>
      <c r="AX390" s="122"/>
    </row>
    <row r="391" spans="4:53" ht="12.75" customHeight="1" x14ac:dyDescent="0.25">
      <c r="D391" s="281"/>
      <c r="E391" s="278"/>
      <c r="F391" s="278"/>
      <c r="G391" s="278"/>
      <c r="H391" s="278"/>
      <c r="AJ391" s="122"/>
      <c r="AW391" s="122"/>
      <c r="AX391" s="122"/>
    </row>
    <row r="392" spans="4:53" ht="12.75" customHeight="1" x14ac:dyDescent="0.25">
      <c r="D392" s="281"/>
      <c r="E392" s="278"/>
      <c r="F392" s="278"/>
      <c r="G392" s="278"/>
      <c r="H392" s="278"/>
      <c r="AJ392" s="122"/>
      <c r="AW392" s="122"/>
      <c r="AX392" s="122"/>
    </row>
    <row r="393" spans="4:53" ht="12.75" customHeight="1" x14ac:dyDescent="0.25">
      <c r="D393" s="281"/>
      <c r="E393" s="278"/>
      <c r="F393" s="278"/>
      <c r="G393" s="278"/>
      <c r="H393" s="278"/>
      <c r="AF393" s="435"/>
      <c r="AG393" s="436"/>
      <c r="AH393" s="435"/>
      <c r="AJ393" s="122"/>
      <c r="AW393" s="122"/>
      <c r="AX393" s="122"/>
    </row>
    <row r="394" spans="4:53" ht="12.75" customHeight="1" x14ac:dyDescent="0.25">
      <c r="D394" s="281"/>
      <c r="E394" s="278"/>
      <c r="F394" s="278"/>
      <c r="G394" s="278"/>
      <c r="H394" s="278"/>
      <c r="AF394" s="437"/>
      <c r="AG394" s="437"/>
      <c r="AH394" s="435"/>
      <c r="AI394" s="436"/>
      <c r="AJ394" s="438"/>
      <c r="AK394" s="439"/>
      <c r="AL394" s="440"/>
      <c r="AM394" s="441"/>
      <c r="AN394" s="441"/>
      <c r="AO394" s="442"/>
      <c r="AP394" s="443"/>
      <c r="AQ394" s="441"/>
      <c r="AR394" s="441"/>
      <c r="AS394" s="444">
        <v>20000</v>
      </c>
      <c r="AT394" s="441"/>
      <c r="AU394" s="435">
        <v>24</v>
      </c>
      <c r="AV394" s="445"/>
      <c r="AW394" s="446"/>
      <c r="AX394" s="445"/>
      <c r="AY394" s="441"/>
      <c r="AZ394" s="441"/>
      <c r="BA394" s="441"/>
    </row>
    <row r="395" spans="4:53" ht="12.75" customHeight="1" x14ac:dyDescent="0.25">
      <c r="D395" s="281"/>
      <c r="E395" s="278"/>
      <c r="F395" s="278"/>
      <c r="G395" s="278"/>
      <c r="H395" s="278"/>
      <c r="AF395" s="437"/>
      <c r="AG395" s="437"/>
      <c r="AH395" s="435"/>
      <c r="AI395" s="437"/>
      <c r="AJ395" s="447"/>
      <c r="AK395" s="448"/>
      <c r="AL395" s="449"/>
      <c r="AM395" s="444"/>
      <c r="AN395" s="444"/>
      <c r="AO395" s="450"/>
      <c r="AP395" s="451"/>
      <c r="AQ395" s="444"/>
      <c r="AR395" s="444"/>
      <c r="AS395" s="444">
        <v>15000</v>
      </c>
      <c r="AT395" s="444"/>
      <c r="AU395" s="437"/>
      <c r="AV395" s="452"/>
      <c r="AW395" s="453"/>
      <c r="AX395" s="452"/>
      <c r="AY395" s="444"/>
      <c r="AZ395" s="444"/>
      <c r="BA395" s="444"/>
    </row>
    <row r="396" spans="4:53" ht="12.75" customHeight="1" x14ac:dyDescent="0.25">
      <c r="D396" s="281"/>
      <c r="E396" s="278"/>
      <c r="F396" s="278"/>
      <c r="G396" s="278"/>
      <c r="H396" s="278"/>
      <c r="AF396" s="437"/>
      <c r="AG396" s="437"/>
      <c r="AH396" s="435"/>
      <c r="AI396" s="437"/>
      <c r="AJ396" s="447"/>
      <c r="AK396" s="448"/>
      <c r="AL396" s="449"/>
      <c r="AM396" s="444"/>
      <c r="AN396" s="444"/>
      <c r="AO396" s="450"/>
      <c r="AP396" s="451"/>
      <c r="AQ396" s="444"/>
      <c r="AR396" s="444"/>
      <c r="AS396" s="444"/>
      <c r="AT396" s="444"/>
      <c r="AU396" s="437"/>
      <c r="AV396" s="452"/>
      <c r="AW396" s="453"/>
      <c r="AX396" s="452"/>
      <c r="AY396" s="444"/>
      <c r="AZ396" s="444"/>
      <c r="BA396" s="444"/>
    </row>
    <row r="397" spans="4:53" ht="12.75" customHeight="1" x14ac:dyDescent="0.25">
      <c r="D397" s="281"/>
      <c r="E397" s="278"/>
      <c r="F397" s="278"/>
      <c r="G397" s="278"/>
      <c r="H397" s="278"/>
      <c r="AF397" s="437"/>
      <c r="AG397" s="437"/>
      <c r="AH397" s="435"/>
      <c r="AI397" s="437"/>
      <c r="AJ397" s="447"/>
      <c r="AK397" s="448"/>
      <c r="AL397" s="449"/>
      <c r="AM397" s="444"/>
      <c r="AN397" s="444"/>
      <c r="AO397" s="450"/>
      <c r="AP397" s="451"/>
      <c r="AQ397" s="444"/>
      <c r="AR397" s="444"/>
      <c r="AS397" s="444"/>
      <c r="AT397" s="444"/>
      <c r="AU397" s="437"/>
      <c r="AV397" s="452"/>
      <c r="AW397" s="453"/>
      <c r="AX397" s="452"/>
      <c r="AY397" s="444"/>
      <c r="AZ397" s="444"/>
      <c r="BA397" s="444"/>
    </row>
    <row r="398" spans="4:53" ht="12.75" customHeight="1" x14ac:dyDescent="0.25">
      <c r="D398" s="281"/>
      <c r="E398" s="278"/>
      <c r="F398" s="278"/>
      <c r="G398" s="278"/>
      <c r="H398" s="278"/>
      <c r="AF398" s="437"/>
      <c r="AG398" s="437"/>
      <c r="AH398" s="435"/>
      <c r="AI398" s="437"/>
      <c r="AJ398" s="447"/>
      <c r="AK398" s="448"/>
      <c r="AL398" s="449"/>
      <c r="AM398" s="444"/>
      <c r="AN398" s="444"/>
      <c r="AO398" s="450"/>
      <c r="AP398" s="451"/>
      <c r="AQ398" s="444"/>
      <c r="AR398" s="444"/>
      <c r="AS398" s="444"/>
      <c r="AT398" s="444"/>
      <c r="AU398" s="437"/>
      <c r="AV398" s="452"/>
      <c r="AW398" s="453"/>
      <c r="AX398" s="452"/>
      <c r="AY398" s="444"/>
      <c r="AZ398" s="444"/>
      <c r="BA398" s="444"/>
    </row>
    <row r="399" spans="4:53" ht="12.75" customHeight="1" x14ac:dyDescent="0.25">
      <c r="D399" s="281"/>
      <c r="E399" s="278"/>
      <c r="F399" s="278"/>
      <c r="G399" s="278"/>
      <c r="H399" s="278"/>
      <c r="AF399" s="437"/>
      <c r="AG399" s="437"/>
      <c r="AH399" s="435"/>
      <c r="AI399" s="437"/>
      <c r="AJ399" s="447"/>
      <c r="AK399" s="448"/>
      <c r="AL399" s="449"/>
      <c r="AM399" s="444"/>
      <c r="AN399" s="444"/>
      <c r="AO399" s="450"/>
      <c r="AP399" s="451"/>
      <c r="AQ399" s="444"/>
      <c r="AR399" s="444"/>
      <c r="AS399" s="444"/>
      <c r="AT399" s="444"/>
      <c r="AU399" s="437"/>
      <c r="AV399" s="452"/>
      <c r="AW399" s="453"/>
      <c r="AX399" s="452"/>
      <c r="AY399" s="444"/>
      <c r="AZ399" s="444"/>
      <c r="BA399" s="444"/>
    </row>
    <row r="400" spans="4:53" ht="12.75" customHeight="1" x14ac:dyDescent="0.25">
      <c r="D400" s="281"/>
      <c r="E400" s="278"/>
      <c r="F400" s="278"/>
      <c r="G400" s="278"/>
      <c r="H400" s="278"/>
      <c r="AF400" s="437"/>
      <c r="AG400" s="437"/>
      <c r="AH400" s="435"/>
      <c r="AI400" s="437"/>
      <c r="AJ400" s="447"/>
      <c r="AK400" s="448"/>
      <c r="AL400" s="449"/>
      <c r="AM400" s="444"/>
      <c r="AN400" s="444"/>
      <c r="AO400" s="450"/>
      <c r="AP400" s="451"/>
      <c r="AQ400" s="444"/>
      <c r="AR400" s="444"/>
      <c r="AS400" s="444"/>
      <c r="AT400" s="444"/>
      <c r="AU400" s="437"/>
      <c r="AV400" s="452"/>
      <c r="AW400" s="453"/>
      <c r="AX400" s="452"/>
      <c r="AY400" s="444"/>
      <c r="AZ400" s="444"/>
      <c r="BA400" s="444"/>
    </row>
    <row r="401" spans="4:53" ht="12.75" customHeight="1" x14ac:dyDescent="0.25">
      <c r="D401" s="281"/>
      <c r="E401" s="278"/>
      <c r="F401" s="278"/>
      <c r="G401" s="278"/>
      <c r="H401" s="278"/>
      <c r="AF401" s="437"/>
      <c r="AG401" s="437"/>
      <c r="AH401" s="435"/>
      <c r="AI401" s="437"/>
      <c r="AJ401" s="447"/>
      <c r="AK401" s="448"/>
      <c r="AL401" s="449"/>
      <c r="AM401" s="444"/>
      <c r="AN401" s="444"/>
      <c r="AO401" s="450"/>
      <c r="AP401" s="451"/>
      <c r="AQ401" s="444"/>
      <c r="AR401" s="444"/>
      <c r="AS401" s="444"/>
      <c r="AT401" s="444"/>
      <c r="AU401" s="437"/>
      <c r="AV401" s="452"/>
      <c r="AW401" s="453"/>
      <c r="AX401" s="452"/>
      <c r="AY401" s="444"/>
      <c r="AZ401" s="444"/>
      <c r="BA401" s="444"/>
    </row>
    <row r="402" spans="4:53" ht="12.75" customHeight="1" x14ac:dyDescent="0.25">
      <c r="D402" s="281"/>
      <c r="E402" s="278"/>
      <c r="F402" s="278"/>
      <c r="G402" s="278"/>
      <c r="H402" s="278"/>
      <c r="AF402" s="437"/>
      <c r="AG402" s="437"/>
      <c r="AH402" s="435"/>
      <c r="AI402" s="437"/>
      <c r="AJ402" s="447"/>
      <c r="AK402" s="448"/>
      <c r="AL402" s="449"/>
      <c r="AM402" s="444"/>
      <c r="AN402" s="444"/>
      <c r="AO402" s="450"/>
      <c r="AP402" s="451"/>
      <c r="AQ402" s="444"/>
      <c r="AR402" s="444"/>
      <c r="AS402" s="444"/>
      <c r="AT402" s="444"/>
      <c r="AU402" s="437"/>
      <c r="AV402" s="452"/>
      <c r="AW402" s="453"/>
      <c r="AX402" s="452"/>
      <c r="AY402" s="444"/>
      <c r="AZ402" s="444"/>
      <c r="BA402" s="444"/>
    </row>
    <row r="403" spans="4:53" ht="12.75" customHeight="1" x14ac:dyDescent="0.25">
      <c r="D403" s="281"/>
      <c r="E403" s="278"/>
      <c r="F403" s="278"/>
      <c r="G403" s="278"/>
      <c r="H403" s="278"/>
      <c r="AF403" s="176"/>
      <c r="AI403" s="437"/>
      <c r="AJ403" s="447"/>
      <c r="AK403" s="448"/>
      <c r="AL403" s="449"/>
      <c r="AM403" s="444"/>
      <c r="AN403" s="444"/>
      <c r="AO403" s="450"/>
      <c r="AP403" s="451"/>
      <c r="AQ403" s="444"/>
      <c r="AR403" s="444"/>
      <c r="AS403" s="444"/>
      <c r="AT403" s="444"/>
      <c r="AU403" s="437"/>
      <c r="AV403" s="452"/>
      <c r="AW403" s="453"/>
      <c r="AX403" s="452"/>
      <c r="AY403" s="444"/>
      <c r="AZ403" s="444"/>
      <c r="BA403" s="444"/>
    </row>
    <row r="404" spans="4:53" ht="12.75" customHeight="1" x14ac:dyDescent="0.25">
      <c r="D404" s="281"/>
      <c r="E404" s="278"/>
      <c r="F404" s="278"/>
      <c r="G404" s="278"/>
      <c r="H404" s="278"/>
      <c r="AF404" s="176"/>
      <c r="AJ404" s="454"/>
      <c r="AS404" s="248"/>
    </row>
    <row r="405" spans="4:53" ht="12.75" customHeight="1" x14ac:dyDescent="0.25">
      <c r="D405" s="281"/>
      <c r="E405" s="278"/>
      <c r="F405" s="278"/>
      <c r="G405" s="278"/>
      <c r="H405" s="278"/>
      <c r="AF405" s="176"/>
      <c r="AJ405" s="454"/>
      <c r="AS405" s="248"/>
    </row>
    <row r="406" spans="4:53" ht="12.75" customHeight="1" x14ac:dyDescent="0.25">
      <c r="D406" s="281"/>
      <c r="E406" s="278"/>
      <c r="F406" s="278"/>
      <c r="G406" s="278"/>
      <c r="H406" s="278"/>
      <c r="AF406" s="176"/>
      <c r="AJ406" s="454"/>
      <c r="AS406" s="248"/>
    </row>
    <row r="407" spans="4:53" ht="12.75" customHeight="1" x14ac:dyDescent="0.25">
      <c r="D407" s="281"/>
      <c r="E407" s="278"/>
      <c r="F407" s="278"/>
      <c r="G407" s="278"/>
      <c r="H407" s="278"/>
      <c r="AF407" s="176"/>
      <c r="AJ407" s="454"/>
      <c r="AS407" s="248"/>
    </row>
    <row r="408" spans="4:53" ht="12.75" customHeight="1" x14ac:dyDescent="0.25">
      <c r="D408" s="281"/>
      <c r="E408" s="278"/>
      <c r="F408" s="278"/>
      <c r="G408" s="278"/>
      <c r="H408" s="278"/>
      <c r="AF408" s="176"/>
      <c r="AJ408" s="454"/>
      <c r="AS408" s="248"/>
    </row>
    <row r="409" spans="4:53" ht="12.75" customHeight="1" x14ac:dyDescent="0.25">
      <c r="D409" s="281"/>
      <c r="E409" s="278"/>
      <c r="F409" s="278"/>
      <c r="G409" s="278"/>
      <c r="H409" s="278"/>
      <c r="AF409" s="176"/>
      <c r="AJ409" s="454"/>
      <c r="AS409" s="248"/>
    </row>
    <row r="410" spans="4:53" ht="12.75" customHeight="1" x14ac:dyDescent="0.25">
      <c r="D410" s="281"/>
      <c r="E410" s="278"/>
      <c r="F410" s="278"/>
      <c r="G410" s="278"/>
      <c r="H410" s="278"/>
      <c r="AF410" s="176"/>
      <c r="AJ410" s="454"/>
      <c r="AS410" s="248"/>
    </row>
    <row r="411" spans="4:53" ht="12.75" customHeight="1" x14ac:dyDescent="0.25">
      <c r="D411" s="281"/>
      <c r="E411" s="278"/>
      <c r="F411" s="278"/>
      <c r="G411" s="278"/>
      <c r="H411" s="278"/>
      <c r="AJ411" s="454"/>
      <c r="AS411" s="248"/>
    </row>
    <row r="412" spans="4:53" ht="12.75" customHeight="1" x14ac:dyDescent="0.25">
      <c r="D412" s="281"/>
      <c r="E412" s="278"/>
      <c r="F412" s="278"/>
      <c r="G412" s="278"/>
      <c r="H412" s="278"/>
      <c r="AJ412" s="454"/>
    </row>
    <row r="413" spans="4:53" ht="12.75" customHeight="1" x14ac:dyDescent="0.25">
      <c r="D413" s="281"/>
      <c r="E413" s="278"/>
      <c r="F413" s="278"/>
      <c r="G413" s="278"/>
      <c r="H413" s="278"/>
      <c r="AJ413" s="454"/>
    </row>
    <row r="414" spans="4:53" ht="12.75" customHeight="1" x14ac:dyDescent="0.25">
      <c r="D414" s="281"/>
      <c r="E414" s="278"/>
      <c r="F414" s="278"/>
      <c r="G414" s="278"/>
      <c r="H414" s="278"/>
      <c r="AJ414" s="454"/>
    </row>
    <row r="415" spans="4:53" ht="12.75" customHeight="1" x14ac:dyDescent="0.25">
      <c r="D415" s="281"/>
      <c r="E415" s="278"/>
      <c r="F415" s="278"/>
      <c r="G415" s="278"/>
      <c r="H415" s="278"/>
      <c r="AJ415" s="454"/>
    </row>
    <row r="416" spans="4:53" ht="12.75" customHeight="1" x14ac:dyDescent="0.25">
      <c r="D416" s="281"/>
      <c r="E416" s="278"/>
      <c r="F416" s="278"/>
      <c r="G416" s="278"/>
      <c r="H416" s="278"/>
      <c r="AJ416" s="454"/>
    </row>
    <row r="417" spans="4:36" ht="12.75" customHeight="1" x14ac:dyDescent="0.25">
      <c r="D417" s="281"/>
      <c r="E417" s="278"/>
      <c r="F417" s="278"/>
      <c r="G417" s="278"/>
      <c r="H417" s="278"/>
      <c r="AJ417" s="454"/>
    </row>
    <row r="418" spans="4:36" ht="12.75" customHeight="1" x14ac:dyDescent="0.25">
      <c r="D418" s="281"/>
      <c r="E418" s="278"/>
      <c r="F418" s="278"/>
      <c r="G418" s="278"/>
      <c r="H418" s="278"/>
      <c r="AJ418" s="454"/>
    </row>
    <row r="419" spans="4:36" ht="12.75" customHeight="1" x14ac:dyDescent="0.25">
      <c r="D419" s="281"/>
      <c r="E419" s="278"/>
      <c r="F419" s="278"/>
      <c r="G419" s="278"/>
      <c r="H419" s="278"/>
    </row>
    <row r="420" spans="4:36" ht="12.75" customHeight="1" x14ac:dyDescent="0.25">
      <c r="D420" s="281"/>
      <c r="E420" s="278"/>
      <c r="F420" s="278"/>
      <c r="G420" s="278"/>
      <c r="H420" s="278"/>
    </row>
    <row r="421" spans="4:36" ht="12.75" customHeight="1" x14ac:dyDescent="0.25">
      <c r="D421" s="281"/>
      <c r="E421" s="278"/>
      <c r="F421" s="278"/>
      <c r="G421" s="278"/>
      <c r="H421" s="278"/>
    </row>
    <row r="422" spans="4:36" ht="12.75" customHeight="1" x14ac:dyDescent="0.25">
      <c r="D422" s="281"/>
      <c r="E422" s="278"/>
      <c r="F422" s="278"/>
      <c r="G422" s="278"/>
      <c r="H422" s="278"/>
    </row>
    <row r="423" spans="4:36" ht="12.75" customHeight="1" x14ac:dyDescent="0.25">
      <c r="D423" s="281"/>
      <c r="E423" s="278"/>
      <c r="F423" s="278"/>
      <c r="G423" s="278"/>
      <c r="H423" s="278"/>
    </row>
    <row r="424" spans="4:36" ht="12.75" customHeight="1" x14ac:dyDescent="0.25">
      <c r="D424" s="281"/>
      <c r="E424" s="278"/>
      <c r="F424" s="278"/>
      <c r="G424" s="278"/>
      <c r="H424" s="278"/>
    </row>
    <row r="425" spans="4:36" ht="12.75" customHeight="1" x14ac:dyDescent="0.25">
      <c r="D425" s="281"/>
      <c r="E425" s="278"/>
      <c r="F425" s="278"/>
      <c r="G425" s="278"/>
      <c r="H425" s="278"/>
    </row>
    <row r="426" spans="4:36" ht="12.75" customHeight="1" x14ac:dyDescent="0.25">
      <c r="D426" s="281"/>
      <c r="E426" s="278"/>
      <c r="F426" s="278"/>
      <c r="G426" s="278"/>
      <c r="H426" s="278"/>
    </row>
    <row r="427" spans="4:36" ht="12.75" customHeight="1" x14ac:dyDescent="0.25">
      <c r="D427" s="281"/>
      <c r="E427" s="278"/>
      <c r="F427" s="278"/>
      <c r="G427" s="278"/>
      <c r="H427" s="278"/>
    </row>
    <row r="428" spans="4:36" ht="12.75" customHeight="1" x14ac:dyDescent="0.25">
      <c r="D428" s="281"/>
      <c r="E428" s="278"/>
      <c r="F428" s="278"/>
      <c r="G428" s="278"/>
      <c r="H428" s="278"/>
    </row>
    <row r="429" spans="4:36" ht="12.75" customHeight="1" x14ac:dyDescent="0.25">
      <c r="D429" s="281"/>
      <c r="E429" s="278"/>
      <c r="F429" s="278"/>
      <c r="G429" s="278"/>
      <c r="H429" s="278"/>
    </row>
    <row r="430" spans="4:36" ht="12.75" customHeight="1" x14ac:dyDescent="0.25">
      <c r="D430" s="281"/>
      <c r="E430" s="278"/>
      <c r="F430" s="278"/>
      <c r="G430" s="278"/>
      <c r="H430" s="278"/>
    </row>
    <row r="431" spans="4:36" ht="12.75" customHeight="1" x14ac:dyDescent="0.25">
      <c r="D431" s="281"/>
      <c r="E431" s="278"/>
      <c r="F431" s="278"/>
      <c r="G431" s="278"/>
      <c r="H431" s="278"/>
    </row>
    <row r="432" spans="4:36" ht="12.75" customHeight="1" x14ac:dyDescent="0.25">
      <c r="D432" s="281"/>
      <c r="E432" s="278"/>
      <c r="F432" s="278"/>
      <c r="G432" s="278"/>
      <c r="H432" s="278"/>
    </row>
    <row r="433" spans="4:8" ht="12.75" customHeight="1" x14ac:dyDescent="0.25">
      <c r="D433" s="281"/>
      <c r="E433" s="278"/>
      <c r="F433" s="278"/>
      <c r="G433" s="278"/>
      <c r="H433" s="278"/>
    </row>
    <row r="434" spans="4:8" ht="12.75" customHeight="1" x14ac:dyDescent="0.25">
      <c r="D434" s="281"/>
      <c r="E434" s="278"/>
      <c r="F434" s="278"/>
      <c r="G434" s="278"/>
      <c r="H434" s="278"/>
    </row>
    <row r="435" spans="4:8" ht="12.75" customHeight="1" x14ac:dyDescent="0.25">
      <c r="D435" s="281"/>
      <c r="E435" s="278"/>
      <c r="F435" s="278"/>
      <c r="G435" s="278"/>
      <c r="H435" s="278"/>
    </row>
    <row r="436" spans="4:8" ht="12.75" customHeight="1" x14ac:dyDescent="0.25">
      <c r="D436" s="281"/>
      <c r="E436" s="278"/>
      <c r="F436" s="278"/>
      <c r="G436" s="278"/>
      <c r="H436" s="278"/>
    </row>
    <row r="437" spans="4:8" ht="12.75" customHeight="1" x14ac:dyDescent="0.25">
      <c r="D437" s="281"/>
      <c r="E437" s="278"/>
      <c r="F437" s="278"/>
      <c r="G437" s="278"/>
      <c r="H437" s="278"/>
    </row>
    <row r="438" spans="4:8" ht="12.75" customHeight="1" x14ac:dyDescent="0.25">
      <c r="D438" s="281"/>
      <c r="E438" s="278"/>
      <c r="F438" s="278"/>
      <c r="G438" s="278"/>
      <c r="H438" s="278"/>
    </row>
    <row r="439" spans="4:8" ht="12.75" customHeight="1" x14ac:dyDescent="0.25">
      <c r="D439" s="281"/>
      <c r="E439" s="278"/>
      <c r="F439" s="278"/>
      <c r="G439" s="278"/>
      <c r="H439" s="278"/>
    </row>
    <row r="440" spans="4:8" ht="12.75" customHeight="1" x14ac:dyDescent="0.25">
      <c r="D440" s="281"/>
      <c r="E440" s="278"/>
      <c r="F440" s="278"/>
      <c r="G440" s="278"/>
      <c r="H440" s="278"/>
    </row>
    <row r="441" spans="4:8" ht="12.75" customHeight="1" x14ac:dyDescent="0.25">
      <c r="D441" s="281"/>
      <c r="E441" s="278"/>
      <c r="F441" s="278"/>
      <c r="G441" s="278"/>
      <c r="H441" s="278"/>
    </row>
    <row r="442" spans="4:8" ht="12.75" customHeight="1" x14ac:dyDescent="0.25">
      <c r="D442" s="281"/>
      <c r="E442" s="278"/>
      <c r="F442" s="278"/>
      <c r="G442" s="278"/>
      <c r="H442" s="278"/>
    </row>
    <row r="443" spans="4:8" ht="12.75" customHeight="1" x14ac:dyDescent="0.25">
      <c r="D443" s="281"/>
      <c r="E443" s="278"/>
      <c r="F443" s="278"/>
      <c r="G443" s="278"/>
      <c r="H443" s="278"/>
    </row>
    <row r="444" spans="4:8" ht="12.75" customHeight="1" x14ac:dyDescent="0.25">
      <c r="D444" s="281"/>
      <c r="E444" s="278"/>
      <c r="F444" s="278"/>
      <c r="G444" s="278"/>
      <c r="H444" s="278"/>
    </row>
    <row r="445" spans="4:8" ht="12.75" customHeight="1" x14ac:dyDescent="0.25">
      <c r="D445" s="281"/>
      <c r="E445" s="278"/>
      <c r="F445" s="278"/>
      <c r="G445" s="278"/>
      <c r="H445" s="278"/>
    </row>
    <row r="446" spans="4:8" ht="12.75" customHeight="1" x14ac:dyDescent="0.25">
      <c r="D446" s="281"/>
      <c r="E446" s="278"/>
      <c r="F446" s="278"/>
      <c r="G446" s="278"/>
      <c r="H446" s="278"/>
    </row>
    <row r="447" spans="4:8" ht="12.75" customHeight="1" x14ac:dyDescent="0.25">
      <c r="D447" s="281"/>
      <c r="E447" s="278"/>
      <c r="F447" s="278"/>
      <c r="G447" s="278"/>
      <c r="H447" s="278"/>
    </row>
    <row r="448" spans="4:8" ht="12.75" customHeight="1" x14ac:dyDescent="0.25">
      <c r="D448" s="281"/>
      <c r="E448" s="278"/>
      <c r="F448" s="278"/>
      <c r="G448" s="278"/>
      <c r="H448" s="278"/>
    </row>
    <row r="449" spans="4:8" ht="12.75" customHeight="1" x14ac:dyDescent="0.25">
      <c r="D449" s="281"/>
      <c r="E449" s="278"/>
      <c r="F449" s="278"/>
      <c r="G449" s="278"/>
      <c r="H449" s="278"/>
    </row>
    <row r="450" spans="4:8" ht="12.75" customHeight="1" x14ac:dyDescent="0.25">
      <c r="D450" s="281"/>
      <c r="E450" s="278"/>
      <c r="F450" s="278"/>
      <c r="G450" s="278"/>
      <c r="H450" s="278"/>
    </row>
    <row r="451" spans="4:8" ht="12.75" customHeight="1" x14ac:dyDescent="0.25">
      <c r="D451" s="281"/>
      <c r="E451" s="278"/>
      <c r="F451" s="278"/>
      <c r="G451" s="278"/>
      <c r="H451" s="278"/>
    </row>
    <row r="452" spans="4:8" ht="12.75" customHeight="1" x14ac:dyDescent="0.25">
      <c r="D452" s="281"/>
      <c r="E452" s="278"/>
      <c r="F452" s="278"/>
      <c r="G452" s="278"/>
      <c r="H452" s="278"/>
    </row>
    <row r="453" spans="4:8" ht="12.75" customHeight="1" x14ac:dyDescent="0.25">
      <c r="D453" s="281"/>
      <c r="E453" s="278"/>
      <c r="F453" s="278"/>
      <c r="G453" s="278"/>
      <c r="H453" s="278"/>
    </row>
    <row r="454" spans="4:8" ht="12.75" customHeight="1" x14ac:dyDescent="0.25">
      <c r="D454" s="281"/>
      <c r="E454" s="278"/>
      <c r="F454" s="278"/>
      <c r="G454" s="278"/>
      <c r="H454" s="278"/>
    </row>
    <row r="455" spans="4:8" ht="12.75" customHeight="1" x14ac:dyDescent="0.25">
      <c r="D455" s="281"/>
      <c r="E455" s="278"/>
      <c r="F455" s="278"/>
      <c r="G455" s="278"/>
      <c r="H455" s="278"/>
    </row>
    <row r="456" spans="4:8" ht="12.75" customHeight="1" x14ac:dyDescent="0.25">
      <c r="D456" s="281"/>
      <c r="E456" s="278"/>
      <c r="F456" s="278"/>
      <c r="G456" s="278"/>
      <c r="H456" s="278"/>
    </row>
    <row r="457" spans="4:8" ht="12.75" customHeight="1" x14ac:dyDescent="0.25">
      <c r="D457" s="281"/>
      <c r="E457" s="278"/>
      <c r="F457" s="278"/>
      <c r="G457" s="278"/>
      <c r="H457" s="278"/>
    </row>
    <row r="458" spans="4:8" ht="12.75" customHeight="1" x14ac:dyDescent="0.25">
      <c r="D458" s="281"/>
      <c r="E458" s="278"/>
      <c r="F458" s="278"/>
      <c r="G458" s="278"/>
      <c r="H458" s="278"/>
    </row>
    <row r="459" spans="4:8" ht="12.75" customHeight="1" x14ac:dyDescent="0.25">
      <c r="D459" s="281"/>
      <c r="E459" s="278"/>
      <c r="F459" s="278"/>
      <c r="G459" s="278"/>
      <c r="H459" s="278"/>
    </row>
    <row r="460" spans="4:8" ht="12.75" customHeight="1" x14ac:dyDescent="0.25">
      <c r="D460" s="281"/>
      <c r="E460" s="278"/>
      <c r="F460" s="278"/>
      <c r="G460" s="278"/>
      <c r="H460" s="278"/>
    </row>
    <row r="461" spans="4:8" ht="12.75" customHeight="1" x14ac:dyDescent="0.25">
      <c r="D461" s="281"/>
      <c r="E461" s="278"/>
      <c r="F461" s="278"/>
      <c r="G461" s="278"/>
      <c r="H461" s="278"/>
    </row>
    <row r="462" spans="4:8" ht="12.75" customHeight="1" x14ac:dyDescent="0.25">
      <c r="D462" s="281"/>
      <c r="E462" s="278"/>
      <c r="F462" s="278"/>
      <c r="G462" s="278"/>
      <c r="H462" s="278"/>
    </row>
    <row r="463" spans="4:8" ht="12.75" customHeight="1" x14ac:dyDescent="0.25">
      <c r="D463" s="281"/>
      <c r="E463" s="278"/>
      <c r="F463" s="278"/>
      <c r="G463" s="278"/>
      <c r="H463" s="278"/>
    </row>
    <row r="464" spans="4:8" ht="12.75" customHeight="1" x14ac:dyDescent="0.25">
      <c r="D464" s="281"/>
      <c r="E464" s="278"/>
      <c r="F464" s="278"/>
      <c r="G464" s="278"/>
      <c r="H464" s="278"/>
    </row>
    <row r="465" spans="4:8" ht="12.75" customHeight="1" x14ac:dyDescent="0.25">
      <c r="D465" s="281"/>
      <c r="E465" s="278"/>
      <c r="F465" s="278"/>
      <c r="G465" s="278"/>
      <c r="H465" s="278"/>
    </row>
    <row r="466" spans="4:8" ht="12.75" customHeight="1" x14ac:dyDescent="0.25">
      <c r="D466" s="281"/>
      <c r="E466" s="278"/>
      <c r="F466" s="278"/>
      <c r="G466" s="278"/>
      <c r="H466" s="278"/>
    </row>
    <row r="467" spans="4:8" ht="12.75" customHeight="1" x14ac:dyDescent="0.25">
      <c r="D467" s="281"/>
      <c r="E467" s="278"/>
      <c r="F467" s="278"/>
      <c r="G467" s="278"/>
      <c r="H467" s="278"/>
    </row>
    <row r="468" spans="4:8" ht="12.75" customHeight="1" x14ac:dyDescent="0.25">
      <c r="D468" s="281"/>
      <c r="E468" s="278"/>
      <c r="F468" s="278"/>
      <c r="G468" s="278"/>
      <c r="H468" s="278"/>
    </row>
    <row r="469" spans="4:8" ht="12.75" customHeight="1" x14ac:dyDescent="0.25">
      <c r="D469" s="281"/>
      <c r="E469" s="278"/>
      <c r="F469" s="278"/>
      <c r="G469" s="278"/>
      <c r="H469" s="278"/>
    </row>
    <row r="470" spans="4:8" ht="12.75" customHeight="1" x14ac:dyDescent="0.25">
      <c r="D470" s="281"/>
      <c r="E470" s="278"/>
      <c r="F470" s="278"/>
      <c r="G470" s="278"/>
      <c r="H470" s="278"/>
    </row>
    <row r="471" spans="4:8" ht="12.75" customHeight="1" x14ac:dyDescent="0.25">
      <c r="D471" s="281"/>
      <c r="E471" s="278"/>
      <c r="F471" s="278"/>
      <c r="G471" s="278"/>
      <c r="H471" s="278"/>
    </row>
    <row r="472" spans="4:8" ht="12.75" customHeight="1" x14ac:dyDescent="0.25">
      <c r="D472" s="281"/>
      <c r="E472" s="278"/>
      <c r="F472" s="278"/>
      <c r="G472" s="278"/>
      <c r="H472" s="278"/>
    </row>
    <row r="473" spans="4:8" ht="12.75" customHeight="1" x14ac:dyDescent="0.25">
      <c r="D473" s="281"/>
      <c r="E473" s="278"/>
      <c r="F473" s="278"/>
      <c r="G473" s="278"/>
      <c r="H473" s="278"/>
    </row>
    <row r="474" spans="4:8" ht="12.75" customHeight="1" x14ac:dyDescent="0.25">
      <c r="D474" s="281"/>
      <c r="E474" s="278"/>
      <c r="F474" s="278"/>
      <c r="G474" s="278"/>
      <c r="H474" s="278"/>
    </row>
    <row r="475" spans="4:8" ht="12.75" customHeight="1" x14ac:dyDescent="0.25">
      <c r="D475" s="281"/>
      <c r="E475" s="278"/>
      <c r="F475" s="278"/>
      <c r="G475" s="278"/>
      <c r="H475" s="278"/>
    </row>
    <row r="476" spans="4:8" ht="12.75" customHeight="1" x14ac:dyDescent="0.25">
      <c r="D476" s="281"/>
      <c r="E476" s="278"/>
      <c r="F476" s="278"/>
      <c r="G476" s="278"/>
      <c r="H476" s="278"/>
    </row>
    <row r="477" spans="4:8" ht="12.75" customHeight="1" x14ac:dyDescent="0.25">
      <c r="D477" s="281"/>
      <c r="E477" s="278"/>
      <c r="F477" s="278"/>
      <c r="G477" s="278"/>
      <c r="H477" s="278"/>
    </row>
    <row r="478" spans="4:8" ht="12.75" customHeight="1" x14ac:dyDescent="0.25">
      <c r="D478" s="281"/>
      <c r="E478" s="278"/>
      <c r="F478" s="278"/>
      <c r="G478" s="278"/>
      <c r="H478" s="278"/>
    </row>
    <row r="479" spans="4:8" ht="12.75" customHeight="1" x14ac:dyDescent="0.25">
      <c r="D479" s="281"/>
      <c r="E479" s="278"/>
      <c r="F479" s="278"/>
      <c r="G479" s="278"/>
      <c r="H479" s="278"/>
    </row>
    <row r="480" spans="4:8" ht="12.75" customHeight="1" x14ac:dyDescent="0.25">
      <c r="D480" s="281"/>
      <c r="E480" s="278"/>
      <c r="F480" s="278"/>
      <c r="G480" s="278"/>
      <c r="H480" s="278"/>
    </row>
    <row r="481" spans="4:8" ht="12.75" customHeight="1" x14ac:dyDescent="0.25">
      <c r="D481" s="281"/>
      <c r="E481" s="278"/>
      <c r="F481" s="278"/>
      <c r="G481" s="278"/>
      <c r="H481" s="278"/>
    </row>
    <row r="482" spans="4:8" ht="12.75" customHeight="1" x14ac:dyDescent="0.25">
      <c r="D482" s="281"/>
      <c r="E482" s="278"/>
      <c r="F482" s="278"/>
      <c r="G482" s="278"/>
      <c r="H482" s="278"/>
    </row>
    <row r="483" spans="4:8" ht="12.75" customHeight="1" x14ac:dyDescent="0.25">
      <c r="D483" s="281"/>
      <c r="E483" s="278"/>
      <c r="F483" s="278"/>
      <c r="G483" s="278"/>
      <c r="H483" s="278"/>
    </row>
    <row r="484" spans="4:8" ht="12.75" customHeight="1" x14ac:dyDescent="0.25">
      <c r="D484" s="281"/>
      <c r="E484" s="278"/>
      <c r="F484" s="278"/>
      <c r="G484" s="278"/>
      <c r="H484" s="278"/>
    </row>
    <row r="485" spans="4:8" ht="12.75" customHeight="1" x14ac:dyDescent="0.25">
      <c r="D485" s="281"/>
      <c r="E485" s="278"/>
      <c r="F485" s="278"/>
      <c r="G485" s="278"/>
      <c r="H485" s="278"/>
    </row>
    <row r="486" spans="4:8" ht="12.75" customHeight="1" x14ac:dyDescent="0.25">
      <c r="D486" s="281"/>
      <c r="E486" s="278"/>
      <c r="F486" s="278"/>
      <c r="G486" s="278"/>
      <c r="H486" s="278"/>
    </row>
    <row r="487" spans="4:8" ht="12.75" customHeight="1" x14ac:dyDescent="0.25">
      <c r="D487" s="281"/>
      <c r="E487" s="278"/>
      <c r="F487" s="278"/>
      <c r="G487" s="278"/>
      <c r="H487" s="278"/>
    </row>
    <row r="488" spans="4:8" ht="12.75" customHeight="1" x14ac:dyDescent="0.25">
      <c r="D488" s="281"/>
      <c r="E488" s="278"/>
      <c r="F488" s="278"/>
      <c r="G488" s="278"/>
      <c r="H488" s="278"/>
    </row>
    <row r="489" spans="4:8" ht="12.75" customHeight="1" x14ac:dyDescent="0.25">
      <c r="D489" s="281"/>
      <c r="E489" s="278"/>
      <c r="F489" s="278"/>
      <c r="G489" s="278"/>
      <c r="H489" s="278"/>
    </row>
    <row r="490" spans="4:8" ht="12.75" customHeight="1" x14ac:dyDescent="0.25">
      <c r="D490" s="281"/>
      <c r="E490" s="278"/>
      <c r="F490" s="278"/>
      <c r="G490" s="278"/>
      <c r="H490" s="278"/>
    </row>
    <row r="491" spans="4:8" ht="12.75" customHeight="1" x14ac:dyDescent="0.25">
      <c r="D491" s="281"/>
      <c r="E491" s="278"/>
      <c r="F491" s="278"/>
      <c r="G491" s="278"/>
      <c r="H491" s="278"/>
    </row>
    <row r="492" spans="4:8" ht="12.75" customHeight="1" x14ac:dyDescent="0.25">
      <c r="D492" s="281"/>
      <c r="E492" s="278"/>
      <c r="F492" s="278"/>
      <c r="G492" s="278"/>
      <c r="H492" s="278"/>
    </row>
    <row r="493" spans="4:8" ht="12.75" customHeight="1" x14ac:dyDescent="0.25">
      <c r="D493" s="281"/>
      <c r="E493" s="278"/>
      <c r="F493" s="278"/>
      <c r="G493" s="278"/>
      <c r="H493" s="278"/>
    </row>
    <row r="494" spans="4:8" ht="12.75" customHeight="1" x14ac:dyDescent="0.25">
      <c r="D494" s="281"/>
      <c r="E494" s="278"/>
      <c r="F494" s="278"/>
      <c r="G494" s="278"/>
      <c r="H494" s="278"/>
    </row>
    <row r="495" spans="4:8" ht="12.75" customHeight="1" x14ac:dyDescent="0.25">
      <c r="D495" s="281"/>
      <c r="E495" s="278"/>
      <c r="F495" s="278"/>
      <c r="G495" s="278"/>
      <c r="H495" s="278"/>
    </row>
    <row r="496" spans="4:8" ht="12.75" customHeight="1" x14ac:dyDescent="0.25">
      <c r="D496" s="281"/>
      <c r="E496" s="278"/>
      <c r="F496" s="278"/>
      <c r="G496" s="278"/>
      <c r="H496" s="278"/>
    </row>
    <row r="497" spans="4:8" ht="12.75" customHeight="1" x14ac:dyDescent="0.25">
      <c r="D497" s="281"/>
      <c r="E497" s="278"/>
      <c r="F497" s="278"/>
      <c r="G497" s="278"/>
      <c r="H497" s="278"/>
    </row>
    <row r="498" spans="4:8" ht="12.75" customHeight="1" x14ac:dyDescent="0.25">
      <c r="D498" s="281"/>
      <c r="E498" s="278"/>
      <c r="F498" s="278"/>
      <c r="G498" s="278"/>
      <c r="H498" s="278"/>
    </row>
    <row r="499" spans="4:8" ht="12.75" customHeight="1" x14ac:dyDescent="0.25">
      <c r="D499" s="281"/>
      <c r="E499" s="278"/>
      <c r="F499" s="278"/>
      <c r="G499" s="278"/>
      <c r="H499" s="278"/>
    </row>
    <row r="500" spans="4:8" ht="12.75" customHeight="1" x14ac:dyDescent="0.25">
      <c r="D500" s="281"/>
      <c r="E500" s="278"/>
      <c r="F500" s="278"/>
      <c r="G500" s="278"/>
      <c r="H500" s="278"/>
    </row>
    <row r="501" spans="4:8" ht="12.75" customHeight="1" x14ac:dyDescent="0.25">
      <c r="D501" s="281"/>
      <c r="E501" s="278"/>
      <c r="F501" s="278"/>
      <c r="G501" s="278"/>
      <c r="H501" s="278"/>
    </row>
    <row r="502" spans="4:8" ht="12.75" customHeight="1" x14ac:dyDescent="0.25">
      <c r="D502" s="281"/>
      <c r="E502" s="278"/>
      <c r="F502" s="278"/>
      <c r="G502" s="278"/>
      <c r="H502" s="278"/>
    </row>
    <row r="503" spans="4:8" ht="12.75" customHeight="1" x14ac:dyDescent="0.25">
      <c r="D503" s="281"/>
      <c r="E503" s="278"/>
      <c r="F503" s="278"/>
      <c r="G503" s="278"/>
      <c r="H503" s="278"/>
    </row>
    <row r="504" spans="4:8" ht="12.75" customHeight="1" x14ac:dyDescent="0.25">
      <c r="D504" s="281"/>
      <c r="E504" s="278"/>
      <c r="F504" s="278"/>
      <c r="G504" s="278"/>
      <c r="H504" s="278"/>
    </row>
    <row r="505" spans="4:8" ht="12.75" customHeight="1" x14ac:dyDescent="0.25">
      <c r="D505" s="281"/>
      <c r="E505" s="278"/>
      <c r="F505" s="278"/>
      <c r="G505" s="278"/>
      <c r="H505" s="278"/>
    </row>
    <row r="506" spans="4:8" ht="12.75" customHeight="1" x14ac:dyDescent="0.25">
      <c r="D506" s="281"/>
      <c r="E506" s="278"/>
      <c r="F506" s="278"/>
      <c r="G506" s="278"/>
      <c r="H506" s="278"/>
    </row>
    <row r="507" spans="4:8" ht="12.75" customHeight="1" x14ac:dyDescent="0.25">
      <c r="D507" s="281"/>
      <c r="E507" s="278"/>
      <c r="F507" s="278"/>
      <c r="G507" s="278"/>
      <c r="H507" s="278"/>
    </row>
    <row r="508" spans="4:8" ht="12.75" customHeight="1" x14ac:dyDescent="0.25">
      <c r="D508" s="281"/>
      <c r="E508" s="278"/>
      <c r="F508" s="278"/>
      <c r="G508" s="278"/>
      <c r="H508" s="278"/>
    </row>
    <row r="509" spans="4:8" ht="12.75" customHeight="1" x14ac:dyDescent="0.25">
      <c r="D509" s="281"/>
      <c r="E509" s="278"/>
      <c r="F509" s="278"/>
      <c r="G509" s="278"/>
      <c r="H509" s="278"/>
    </row>
    <row r="510" spans="4:8" ht="12.75" customHeight="1" x14ac:dyDescent="0.25">
      <c r="D510" s="281"/>
      <c r="E510" s="278"/>
      <c r="F510" s="278"/>
      <c r="G510" s="278"/>
      <c r="H510" s="278"/>
    </row>
    <row r="511" spans="4:8" ht="12.75" customHeight="1" x14ac:dyDescent="0.25">
      <c r="D511" s="281"/>
      <c r="E511" s="278"/>
      <c r="F511" s="278"/>
      <c r="G511" s="278"/>
      <c r="H511" s="278"/>
    </row>
    <row r="512" spans="4:8" ht="12.75" customHeight="1" x14ac:dyDescent="0.25">
      <c r="D512" s="281"/>
      <c r="E512" s="278"/>
      <c r="F512" s="278"/>
      <c r="G512" s="278"/>
      <c r="H512" s="278"/>
    </row>
    <row r="513" spans="4:8" ht="12.75" customHeight="1" x14ac:dyDescent="0.25">
      <c r="D513" s="281"/>
      <c r="E513" s="278"/>
      <c r="F513" s="278"/>
      <c r="G513" s="278"/>
      <c r="H513" s="278"/>
    </row>
    <row r="514" spans="4:8" ht="12.75" customHeight="1" x14ac:dyDescent="0.25">
      <c r="D514" s="281"/>
      <c r="E514" s="278"/>
      <c r="F514" s="278"/>
      <c r="G514" s="278"/>
      <c r="H514" s="278"/>
    </row>
    <row r="515" spans="4:8" ht="12.75" customHeight="1" x14ac:dyDescent="0.25">
      <c r="D515" s="281"/>
      <c r="E515" s="278"/>
      <c r="F515" s="278"/>
      <c r="G515" s="278"/>
      <c r="H515" s="278"/>
    </row>
    <row r="516" spans="4:8" ht="12.75" customHeight="1" x14ac:dyDescent="0.25">
      <c r="D516" s="281"/>
      <c r="E516" s="278"/>
      <c r="F516" s="278"/>
      <c r="G516" s="278"/>
      <c r="H516" s="278"/>
    </row>
    <row r="517" spans="4:8" ht="12.75" customHeight="1" x14ac:dyDescent="0.25">
      <c r="D517" s="281"/>
      <c r="E517" s="278"/>
      <c r="F517" s="278"/>
      <c r="G517" s="278"/>
      <c r="H517" s="278"/>
    </row>
    <row r="518" spans="4:8" ht="12.75" customHeight="1" x14ac:dyDescent="0.25">
      <c r="D518" s="281"/>
      <c r="E518" s="278"/>
      <c r="F518" s="278"/>
      <c r="G518" s="278"/>
      <c r="H518" s="278"/>
    </row>
    <row r="519" spans="4:8" ht="12.75" customHeight="1" x14ac:dyDescent="0.25">
      <c r="D519" s="281"/>
      <c r="E519" s="278"/>
      <c r="F519" s="278"/>
      <c r="G519" s="278"/>
      <c r="H519" s="278"/>
    </row>
    <row r="520" spans="4:8" ht="12.75" customHeight="1" x14ac:dyDescent="0.25">
      <c r="D520" s="281"/>
      <c r="E520" s="278"/>
      <c r="F520" s="278"/>
      <c r="G520" s="278"/>
      <c r="H520" s="278"/>
    </row>
    <row r="521" spans="4:8" ht="12.75" customHeight="1" x14ac:dyDescent="0.25">
      <c r="D521" s="281"/>
      <c r="E521" s="278"/>
      <c r="F521" s="278"/>
      <c r="G521" s="278"/>
      <c r="H521" s="278"/>
    </row>
    <row r="522" spans="4:8" ht="12.75" customHeight="1" x14ac:dyDescent="0.25">
      <c r="D522" s="281"/>
      <c r="E522" s="278"/>
      <c r="F522" s="278"/>
      <c r="G522" s="278"/>
      <c r="H522" s="278"/>
    </row>
    <row r="523" spans="4:8" ht="12.75" customHeight="1" x14ac:dyDescent="0.25">
      <c r="D523" s="281"/>
      <c r="E523" s="278"/>
      <c r="F523" s="278"/>
      <c r="G523" s="278"/>
      <c r="H523" s="278"/>
    </row>
    <row r="524" spans="4:8" ht="12.75" customHeight="1" x14ac:dyDescent="0.25">
      <c r="D524" s="281"/>
      <c r="E524" s="278"/>
      <c r="F524" s="278"/>
      <c r="G524" s="278"/>
      <c r="H524" s="278"/>
    </row>
    <row r="525" spans="4:8" ht="12.75" customHeight="1" x14ac:dyDescent="0.25">
      <c r="D525" s="281"/>
      <c r="E525" s="278"/>
      <c r="F525" s="278"/>
      <c r="G525" s="278"/>
      <c r="H525" s="278"/>
    </row>
    <row r="526" spans="4:8" ht="12.75" customHeight="1" x14ac:dyDescent="0.25">
      <c r="D526" s="281"/>
      <c r="E526" s="278"/>
      <c r="F526" s="278"/>
      <c r="G526" s="278"/>
      <c r="H526" s="278"/>
    </row>
    <row r="527" spans="4:8" ht="12.75" customHeight="1" x14ac:dyDescent="0.25">
      <c r="D527" s="281"/>
      <c r="E527" s="278"/>
      <c r="F527" s="278"/>
      <c r="G527" s="278"/>
      <c r="H527" s="278"/>
    </row>
    <row r="528" spans="4:8" ht="12.75" customHeight="1" x14ac:dyDescent="0.25">
      <c r="D528" s="281"/>
      <c r="E528" s="278"/>
      <c r="F528" s="278"/>
      <c r="G528" s="278"/>
      <c r="H528" s="278"/>
    </row>
    <row r="529" spans="4:8" ht="12.75" customHeight="1" x14ac:dyDescent="0.25">
      <c r="D529" s="281"/>
      <c r="E529" s="278"/>
      <c r="F529" s="278"/>
      <c r="G529" s="278"/>
      <c r="H529" s="278"/>
    </row>
    <row r="530" spans="4:8" ht="12.75" customHeight="1" x14ac:dyDescent="0.25">
      <c r="D530" s="281"/>
      <c r="E530" s="278"/>
      <c r="F530" s="278"/>
      <c r="G530" s="278"/>
      <c r="H530" s="278"/>
    </row>
    <row r="531" spans="4:8" ht="12.75" customHeight="1" x14ac:dyDescent="0.25">
      <c r="D531" s="281"/>
      <c r="E531" s="278"/>
      <c r="F531" s="278"/>
      <c r="G531" s="278"/>
      <c r="H531" s="278"/>
    </row>
    <row r="532" spans="4:8" ht="12.75" customHeight="1" x14ac:dyDescent="0.25">
      <c r="D532" s="281"/>
      <c r="E532" s="278"/>
      <c r="F532" s="278"/>
      <c r="G532" s="278"/>
      <c r="H532" s="278"/>
    </row>
    <row r="533" spans="4:8" ht="12.75" customHeight="1" x14ac:dyDescent="0.25">
      <c r="D533" s="281"/>
      <c r="E533" s="278"/>
      <c r="F533" s="278"/>
      <c r="G533" s="278"/>
      <c r="H533" s="278"/>
    </row>
    <row r="534" spans="4:8" ht="12.75" customHeight="1" x14ac:dyDescent="0.25">
      <c r="D534" s="281"/>
      <c r="E534" s="278"/>
      <c r="F534" s="278"/>
      <c r="G534" s="278"/>
      <c r="H534" s="278"/>
    </row>
    <row r="535" spans="4:8" ht="12.75" customHeight="1" x14ac:dyDescent="0.25">
      <c r="D535" s="281"/>
      <c r="E535" s="278"/>
      <c r="F535" s="278"/>
      <c r="G535" s="278"/>
      <c r="H535" s="278"/>
    </row>
    <row r="536" spans="4:8" ht="12.75" customHeight="1" x14ac:dyDescent="0.25">
      <c r="D536" s="281"/>
      <c r="E536" s="278"/>
      <c r="F536" s="278"/>
      <c r="G536" s="278"/>
      <c r="H536" s="278"/>
    </row>
    <row r="537" spans="4:8" ht="12.75" customHeight="1" x14ac:dyDescent="0.25">
      <c r="D537" s="281"/>
      <c r="E537" s="278"/>
      <c r="F537" s="278"/>
      <c r="G537" s="278"/>
      <c r="H537" s="278"/>
    </row>
    <row r="538" spans="4:8" ht="12.75" customHeight="1" x14ac:dyDescent="0.25">
      <c r="D538" s="281"/>
      <c r="E538" s="278"/>
      <c r="F538" s="278"/>
      <c r="G538" s="278"/>
      <c r="H538" s="278"/>
    </row>
    <row r="539" spans="4:8" ht="12.75" customHeight="1" x14ac:dyDescent="0.25">
      <c r="D539" s="281"/>
      <c r="E539" s="278"/>
      <c r="F539" s="278"/>
      <c r="G539" s="278"/>
      <c r="H539" s="278"/>
    </row>
    <row r="540" spans="4:8" ht="12.75" customHeight="1" x14ac:dyDescent="0.25">
      <c r="D540" s="281"/>
      <c r="E540" s="278"/>
      <c r="F540" s="278"/>
      <c r="G540" s="278"/>
      <c r="H540" s="278"/>
    </row>
    <row r="541" spans="4:8" ht="12.75" customHeight="1" x14ac:dyDescent="0.25">
      <c r="D541" s="281"/>
      <c r="E541" s="278"/>
      <c r="F541" s="278"/>
      <c r="G541" s="278"/>
      <c r="H541" s="278"/>
    </row>
    <row r="542" spans="4:8" ht="12.75" customHeight="1" x14ac:dyDescent="0.25">
      <c r="D542" s="281"/>
      <c r="E542" s="278"/>
      <c r="F542" s="278"/>
      <c r="G542" s="278"/>
      <c r="H542" s="278"/>
    </row>
    <row r="543" spans="4:8" ht="12.75" customHeight="1" x14ac:dyDescent="0.25">
      <c r="D543" s="281"/>
      <c r="E543" s="278"/>
      <c r="F543" s="278"/>
      <c r="G543" s="278"/>
      <c r="H543" s="278"/>
    </row>
    <row r="544" spans="4:8" ht="12.75" customHeight="1" x14ac:dyDescent="0.25">
      <c r="D544" s="281"/>
      <c r="E544" s="278"/>
      <c r="F544" s="278"/>
      <c r="G544" s="278"/>
      <c r="H544" s="278"/>
    </row>
    <row r="545" spans="4:8" ht="12.75" customHeight="1" x14ac:dyDescent="0.25">
      <c r="D545" s="281"/>
      <c r="E545" s="278"/>
      <c r="F545" s="278"/>
      <c r="G545" s="278"/>
      <c r="H545" s="278"/>
    </row>
    <row r="546" spans="4:8" ht="12.75" customHeight="1" x14ac:dyDescent="0.25">
      <c r="D546" s="281"/>
      <c r="E546" s="278"/>
      <c r="F546" s="278"/>
      <c r="G546" s="278"/>
      <c r="H546" s="278"/>
    </row>
    <row r="547" spans="4:8" ht="12.75" customHeight="1" x14ac:dyDescent="0.25">
      <c r="D547" s="281"/>
      <c r="E547" s="278"/>
      <c r="F547" s="278"/>
      <c r="G547" s="278"/>
      <c r="H547" s="278"/>
    </row>
    <row r="548" spans="4:8" ht="12.75" customHeight="1" x14ac:dyDescent="0.25">
      <c r="D548" s="281"/>
      <c r="E548" s="278"/>
      <c r="F548" s="278"/>
      <c r="G548" s="278"/>
      <c r="H548" s="278"/>
    </row>
    <row r="549" spans="4:8" ht="12.75" customHeight="1" x14ac:dyDescent="0.25">
      <c r="D549" s="281"/>
      <c r="E549" s="278"/>
      <c r="F549" s="278"/>
      <c r="G549" s="278"/>
      <c r="H549" s="278"/>
    </row>
    <row r="550" spans="4:8" ht="12.75" customHeight="1" x14ac:dyDescent="0.25">
      <c r="D550" s="281"/>
      <c r="E550" s="278"/>
      <c r="F550" s="278"/>
      <c r="G550" s="278"/>
      <c r="H550" s="278"/>
    </row>
    <row r="551" spans="4:8" ht="12.75" customHeight="1" x14ac:dyDescent="0.25">
      <c r="D551" s="281"/>
      <c r="E551" s="278"/>
      <c r="F551" s="278"/>
      <c r="G551" s="278"/>
      <c r="H551" s="278"/>
    </row>
    <row r="552" spans="4:8" ht="12.75" customHeight="1" x14ac:dyDescent="0.25">
      <c r="D552" s="281"/>
      <c r="E552" s="278"/>
      <c r="F552" s="278"/>
      <c r="G552" s="278"/>
      <c r="H552" s="278"/>
    </row>
    <row r="553" spans="4:8" ht="12.75" customHeight="1" x14ac:dyDescent="0.25">
      <c r="D553" s="281"/>
      <c r="E553" s="278"/>
      <c r="F553" s="278"/>
      <c r="G553" s="278"/>
      <c r="H553" s="278"/>
    </row>
    <row r="554" spans="4:8" ht="12.75" customHeight="1" x14ac:dyDescent="0.25">
      <c r="D554" s="281"/>
      <c r="E554" s="278"/>
      <c r="F554" s="278"/>
      <c r="G554" s="278"/>
      <c r="H554" s="278"/>
    </row>
    <row r="555" spans="4:8" ht="12.75" customHeight="1" x14ac:dyDescent="0.25">
      <c r="D555" s="281"/>
      <c r="E555" s="278"/>
      <c r="F555" s="278"/>
      <c r="G555" s="278"/>
      <c r="H555" s="278"/>
    </row>
    <row r="556" spans="4:8" ht="12.75" customHeight="1" x14ac:dyDescent="0.25">
      <c r="D556" s="281"/>
      <c r="E556" s="278"/>
      <c r="F556" s="278"/>
      <c r="G556" s="278"/>
      <c r="H556" s="278"/>
    </row>
    <row r="557" spans="4:8" ht="12.75" customHeight="1" x14ac:dyDescent="0.25">
      <c r="D557" s="281"/>
      <c r="E557" s="278"/>
      <c r="F557" s="278"/>
      <c r="G557" s="278"/>
      <c r="H557" s="278"/>
    </row>
    <row r="558" spans="4:8" ht="12.75" customHeight="1" x14ac:dyDescent="0.25">
      <c r="D558" s="281"/>
      <c r="E558" s="278"/>
      <c r="F558" s="278"/>
      <c r="G558" s="278"/>
      <c r="H558" s="278"/>
    </row>
    <row r="559" spans="4:8" ht="12.75" customHeight="1" x14ac:dyDescent="0.25">
      <c r="D559" s="281"/>
      <c r="E559" s="278"/>
      <c r="F559" s="278"/>
      <c r="G559" s="278"/>
      <c r="H559" s="278"/>
    </row>
    <row r="560" spans="4:8" ht="12.75" customHeight="1" x14ac:dyDescent="0.25">
      <c r="D560" s="281"/>
      <c r="E560" s="278"/>
      <c r="F560" s="278"/>
      <c r="G560" s="278"/>
      <c r="H560" s="278"/>
    </row>
    <row r="561" spans="4:8" ht="12.75" customHeight="1" x14ac:dyDescent="0.25">
      <c r="D561" s="281"/>
      <c r="E561" s="278"/>
      <c r="F561" s="278"/>
      <c r="G561" s="278"/>
      <c r="H561" s="278"/>
    </row>
    <row r="562" spans="4:8" ht="12.75" customHeight="1" x14ac:dyDescent="0.25">
      <c r="D562" s="281"/>
      <c r="E562" s="278"/>
      <c r="F562" s="278"/>
      <c r="G562" s="278"/>
      <c r="H562" s="278"/>
    </row>
    <row r="563" spans="4:8" ht="12.75" customHeight="1" x14ac:dyDescent="0.25">
      <c r="D563" s="281"/>
      <c r="E563" s="278"/>
      <c r="F563" s="278"/>
      <c r="G563" s="278"/>
      <c r="H563" s="278"/>
    </row>
    <row r="564" spans="4:8" ht="12.75" customHeight="1" x14ac:dyDescent="0.25">
      <c r="D564" s="281"/>
      <c r="E564" s="278"/>
      <c r="F564" s="278"/>
      <c r="G564" s="278"/>
      <c r="H564" s="278"/>
    </row>
    <row r="565" spans="4:8" ht="12.75" customHeight="1" x14ac:dyDescent="0.25">
      <c r="D565" s="281"/>
      <c r="E565" s="278"/>
      <c r="F565" s="278"/>
      <c r="G565" s="278"/>
      <c r="H565" s="278"/>
    </row>
    <row r="566" spans="4:8" ht="12.75" customHeight="1" x14ac:dyDescent="0.25">
      <c r="D566" s="281"/>
      <c r="E566" s="278"/>
      <c r="F566" s="278"/>
      <c r="G566" s="278"/>
      <c r="H566" s="278"/>
    </row>
    <row r="567" spans="4:8" ht="12.75" customHeight="1" x14ac:dyDescent="0.25">
      <c r="D567" s="281"/>
      <c r="E567" s="278"/>
      <c r="F567" s="278"/>
      <c r="G567" s="278"/>
      <c r="H567" s="278"/>
    </row>
    <row r="568" spans="4:8" ht="12.75" customHeight="1" x14ac:dyDescent="0.25">
      <c r="D568" s="281"/>
      <c r="E568" s="278"/>
      <c r="F568" s="278"/>
      <c r="G568" s="278"/>
      <c r="H568" s="278"/>
    </row>
    <row r="569" spans="4:8" ht="12.75" customHeight="1" x14ac:dyDescent="0.25">
      <c r="D569" s="281"/>
      <c r="E569" s="278"/>
      <c r="F569" s="278"/>
      <c r="G569" s="278"/>
      <c r="H569" s="278"/>
    </row>
    <row r="570" spans="4:8" ht="12.75" customHeight="1" x14ac:dyDescent="0.25">
      <c r="D570" s="281"/>
      <c r="E570" s="278"/>
      <c r="F570" s="278"/>
      <c r="G570" s="278"/>
      <c r="H570" s="278"/>
    </row>
    <row r="571" spans="4:8" ht="12.75" customHeight="1" x14ac:dyDescent="0.25">
      <c r="D571" s="281"/>
      <c r="E571" s="278"/>
      <c r="F571" s="278"/>
      <c r="G571" s="278"/>
      <c r="H571" s="278"/>
    </row>
    <row r="572" spans="4:8" ht="12.75" customHeight="1" x14ac:dyDescent="0.25">
      <c r="D572" s="281"/>
      <c r="E572" s="278"/>
      <c r="F572" s="278"/>
      <c r="G572" s="278"/>
      <c r="H572" s="278"/>
    </row>
    <row r="573" spans="4:8" ht="12.75" customHeight="1" x14ac:dyDescent="0.25">
      <c r="D573" s="281"/>
      <c r="E573" s="278"/>
      <c r="F573" s="278"/>
      <c r="G573" s="278"/>
      <c r="H573" s="278"/>
    </row>
    <row r="574" spans="4:8" ht="12.75" customHeight="1" x14ac:dyDescent="0.25">
      <c r="D574" s="281"/>
      <c r="E574" s="278"/>
      <c r="F574" s="278"/>
      <c r="G574" s="278"/>
      <c r="H574" s="278"/>
    </row>
    <row r="575" spans="4:8" ht="12.75" customHeight="1" x14ac:dyDescent="0.25">
      <c r="D575" s="281"/>
      <c r="E575" s="278"/>
      <c r="F575" s="278"/>
      <c r="G575" s="278"/>
      <c r="H575" s="278"/>
    </row>
    <row r="576" spans="4:8" ht="12.75" customHeight="1" x14ac:dyDescent="0.25">
      <c r="D576" s="281"/>
      <c r="E576" s="278"/>
      <c r="F576" s="278"/>
      <c r="G576" s="278"/>
      <c r="H576" s="278"/>
    </row>
    <row r="577" spans="4:8" ht="12.75" customHeight="1" x14ac:dyDescent="0.25">
      <c r="D577" s="281"/>
      <c r="E577" s="278"/>
      <c r="F577" s="278"/>
      <c r="G577" s="278"/>
      <c r="H577" s="278"/>
    </row>
    <row r="578" spans="4:8" ht="12.75" customHeight="1" x14ac:dyDescent="0.25">
      <c r="D578" s="281"/>
      <c r="E578" s="278"/>
      <c r="F578" s="278"/>
      <c r="G578" s="278"/>
      <c r="H578" s="278"/>
    </row>
    <row r="579" spans="4:8" ht="12.75" customHeight="1" x14ac:dyDescent="0.25">
      <c r="D579" s="281"/>
      <c r="E579" s="278"/>
      <c r="F579" s="278"/>
      <c r="G579" s="278"/>
      <c r="H579" s="278"/>
    </row>
    <row r="580" spans="4:8" ht="12.75" customHeight="1" x14ac:dyDescent="0.25">
      <c r="D580" s="281"/>
      <c r="E580" s="278"/>
      <c r="F580" s="278"/>
      <c r="G580" s="278"/>
      <c r="H580" s="278"/>
    </row>
    <row r="581" spans="4:8" ht="12.75" customHeight="1" x14ac:dyDescent="0.25">
      <c r="D581" s="281"/>
      <c r="E581" s="278"/>
      <c r="F581" s="278"/>
      <c r="G581" s="278"/>
      <c r="H581" s="278"/>
    </row>
    <row r="582" spans="4:8" ht="12.75" customHeight="1" x14ac:dyDescent="0.25">
      <c r="D582" s="281"/>
      <c r="E582" s="278"/>
      <c r="F582" s="278"/>
      <c r="G582" s="278"/>
      <c r="H582" s="278"/>
    </row>
    <row r="583" spans="4:8" ht="12.75" customHeight="1" x14ac:dyDescent="0.25">
      <c r="D583" s="281"/>
      <c r="E583" s="278"/>
      <c r="F583" s="278"/>
      <c r="G583" s="278"/>
      <c r="H583" s="278"/>
    </row>
    <row r="584" spans="4:8" ht="12.75" customHeight="1" x14ac:dyDescent="0.25">
      <c r="D584" s="281"/>
      <c r="E584" s="278"/>
      <c r="F584" s="278"/>
      <c r="G584" s="278"/>
      <c r="H584" s="278"/>
    </row>
    <row r="585" spans="4:8" ht="12.75" customHeight="1" x14ac:dyDescent="0.25">
      <c r="D585" s="281"/>
      <c r="E585" s="278"/>
      <c r="F585" s="278"/>
      <c r="G585" s="278"/>
      <c r="H585" s="278"/>
    </row>
    <row r="586" spans="4:8" ht="12.75" customHeight="1" x14ac:dyDescent="0.25">
      <c r="D586" s="281"/>
      <c r="E586" s="278"/>
      <c r="F586" s="278"/>
      <c r="G586" s="278"/>
      <c r="H586" s="278"/>
    </row>
    <row r="587" spans="4:8" ht="12.75" customHeight="1" x14ac:dyDescent="0.25">
      <c r="D587" s="281"/>
      <c r="E587" s="278"/>
      <c r="F587" s="278"/>
      <c r="G587" s="278"/>
      <c r="H587" s="278"/>
    </row>
    <row r="588" spans="4:8" ht="12.75" customHeight="1" x14ac:dyDescent="0.25">
      <c r="D588" s="281"/>
      <c r="E588" s="278"/>
      <c r="F588" s="278"/>
      <c r="G588" s="278"/>
      <c r="H588" s="278"/>
    </row>
    <row r="589" spans="4:8" ht="12.75" customHeight="1" x14ac:dyDescent="0.25">
      <c r="D589" s="281"/>
      <c r="E589" s="278"/>
      <c r="F589" s="278"/>
      <c r="G589" s="278"/>
      <c r="H589" s="278"/>
    </row>
    <row r="590" spans="4:8" ht="12.75" customHeight="1" x14ac:dyDescent="0.25">
      <c r="D590" s="281"/>
      <c r="E590" s="278"/>
      <c r="F590" s="278"/>
      <c r="G590" s="278"/>
      <c r="H590" s="278"/>
    </row>
    <row r="591" spans="4:8" ht="12.75" customHeight="1" x14ac:dyDescent="0.25">
      <c r="D591" s="281"/>
      <c r="E591" s="278"/>
      <c r="F591" s="278"/>
      <c r="G591" s="278"/>
      <c r="H591" s="278"/>
    </row>
    <row r="592" spans="4:8" ht="12.75" customHeight="1" x14ac:dyDescent="0.25">
      <c r="D592" s="281"/>
      <c r="E592" s="278"/>
      <c r="F592" s="278"/>
      <c r="G592" s="278"/>
      <c r="H592" s="278"/>
    </row>
    <row r="593" spans="4:8" ht="12.75" customHeight="1" x14ac:dyDescent="0.25">
      <c r="D593" s="281"/>
      <c r="E593" s="278"/>
      <c r="F593" s="278"/>
      <c r="G593" s="278"/>
      <c r="H593" s="278"/>
    </row>
    <row r="594" spans="4:8" ht="12.75" customHeight="1" x14ac:dyDescent="0.25">
      <c r="D594" s="281"/>
      <c r="E594" s="278"/>
      <c r="F594" s="278"/>
      <c r="G594" s="278"/>
      <c r="H594" s="278"/>
    </row>
    <row r="595" spans="4:8" ht="12.75" customHeight="1" x14ac:dyDescent="0.25">
      <c r="D595" s="281"/>
      <c r="E595" s="278"/>
      <c r="F595" s="278"/>
      <c r="G595" s="278"/>
      <c r="H595" s="278"/>
    </row>
    <row r="596" spans="4:8" ht="12.75" customHeight="1" x14ac:dyDescent="0.25">
      <c r="D596" s="281"/>
      <c r="E596" s="278"/>
      <c r="F596" s="278"/>
      <c r="G596" s="278"/>
      <c r="H596" s="278"/>
    </row>
    <row r="597" spans="4:8" ht="12.75" customHeight="1" x14ac:dyDescent="0.25">
      <c r="D597" s="281"/>
      <c r="E597" s="278"/>
      <c r="F597" s="278"/>
      <c r="G597" s="278"/>
      <c r="H597" s="278"/>
    </row>
    <row r="598" spans="4:8" ht="12.75" customHeight="1" x14ac:dyDescent="0.25">
      <c r="D598" s="281"/>
      <c r="E598" s="278"/>
      <c r="F598" s="278"/>
      <c r="G598" s="278"/>
      <c r="H598" s="278"/>
    </row>
    <row r="599" spans="4:8" ht="12.75" customHeight="1" x14ac:dyDescent="0.25">
      <c r="D599" s="281"/>
      <c r="E599" s="278"/>
      <c r="F599" s="278"/>
      <c r="G599" s="278"/>
      <c r="H599" s="278"/>
    </row>
    <row r="600" spans="4:8" ht="12.75" customHeight="1" x14ac:dyDescent="0.25">
      <c r="D600" s="281"/>
      <c r="E600" s="278"/>
      <c r="F600" s="278"/>
      <c r="G600" s="278"/>
      <c r="H600" s="278"/>
    </row>
    <row r="601" spans="4:8" ht="12.75" customHeight="1" x14ac:dyDescent="0.25">
      <c r="D601" s="281"/>
      <c r="E601" s="278"/>
      <c r="F601" s="278"/>
      <c r="G601" s="278"/>
      <c r="H601" s="278"/>
    </row>
    <row r="602" spans="4:8" ht="12.75" customHeight="1" x14ac:dyDescent="0.25">
      <c r="D602" s="281"/>
      <c r="E602" s="278"/>
      <c r="F602" s="278"/>
      <c r="G602" s="278"/>
      <c r="H602" s="278"/>
    </row>
    <row r="603" spans="4:8" ht="12.75" customHeight="1" x14ac:dyDescent="0.25">
      <c r="D603" s="281"/>
      <c r="E603" s="278"/>
      <c r="F603" s="278"/>
      <c r="G603" s="278"/>
      <c r="H603" s="278"/>
    </row>
    <row r="604" spans="4:8" ht="12.75" customHeight="1" x14ac:dyDescent="0.25">
      <c r="D604" s="281"/>
      <c r="E604" s="278"/>
      <c r="F604" s="278"/>
      <c r="G604" s="278"/>
      <c r="H604" s="278"/>
    </row>
    <row r="605" spans="4:8" ht="12.75" customHeight="1" x14ac:dyDescent="0.25">
      <c r="D605" s="281"/>
      <c r="E605" s="278"/>
      <c r="F605" s="278"/>
      <c r="G605" s="278"/>
      <c r="H605" s="278"/>
    </row>
    <row r="606" spans="4:8" ht="12.75" customHeight="1" x14ac:dyDescent="0.25">
      <c r="D606" s="281"/>
      <c r="E606" s="278"/>
      <c r="F606" s="278"/>
      <c r="G606" s="278"/>
      <c r="H606" s="278"/>
    </row>
    <row r="607" spans="4:8" ht="12.75" customHeight="1" x14ac:dyDescent="0.25">
      <c r="D607" s="281"/>
      <c r="E607" s="278"/>
      <c r="F607" s="278"/>
      <c r="G607" s="278"/>
      <c r="H607" s="278"/>
    </row>
    <row r="608" spans="4:8" ht="12.75" customHeight="1" x14ac:dyDescent="0.25">
      <c r="D608" s="281"/>
      <c r="E608" s="278"/>
      <c r="F608" s="278"/>
      <c r="G608" s="278"/>
      <c r="H608" s="278"/>
    </row>
    <row r="609" spans="4:8" ht="12.75" customHeight="1" x14ac:dyDescent="0.25">
      <c r="D609" s="281"/>
      <c r="E609" s="278"/>
      <c r="F609" s="278"/>
      <c r="G609" s="278"/>
      <c r="H609" s="278"/>
    </row>
    <row r="610" spans="4:8" ht="12.75" customHeight="1" x14ac:dyDescent="0.25">
      <c r="D610" s="281"/>
      <c r="E610" s="278"/>
      <c r="F610" s="278"/>
      <c r="G610" s="278"/>
      <c r="H610" s="278"/>
    </row>
    <row r="611" spans="4:8" ht="12.75" customHeight="1" x14ac:dyDescent="0.25">
      <c r="D611" s="281"/>
      <c r="E611" s="278"/>
      <c r="F611" s="278"/>
      <c r="G611" s="278"/>
      <c r="H611" s="278"/>
    </row>
    <row r="612" spans="4:8" ht="12.75" customHeight="1" x14ac:dyDescent="0.25">
      <c r="D612" s="281"/>
      <c r="E612" s="278"/>
      <c r="F612" s="278"/>
      <c r="G612" s="278"/>
      <c r="H612" s="278"/>
    </row>
    <row r="613" spans="4:8" ht="12.75" customHeight="1" x14ac:dyDescent="0.25">
      <c r="D613" s="281"/>
      <c r="E613" s="278"/>
      <c r="F613" s="278"/>
      <c r="G613" s="278"/>
      <c r="H613" s="278"/>
    </row>
    <row r="614" spans="4:8" ht="12.75" customHeight="1" x14ac:dyDescent="0.25">
      <c r="D614" s="281"/>
      <c r="E614" s="278"/>
      <c r="F614" s="278"/>
      <c r="G614" s="278"/>
      <c r="H614" s="278"/>
    </row>
    <row r="615" spans="4:8" ht="12.75" customHeight="1" x14ac:dyDescent="0.25">
      <c r="D615" s="281"/>
      <c r="E615" s="278"/>
      <c r="F615" s="278"/>
      <c r="G615" s="278"/>
      <c r="H615" s="278"/>
    </row>
    <row r="616" spans="4:8" ht="12.75" customHeight="1" x14ac:dyDescent="0.25">
      <c r="D616" s="281"/>
      <c r="E616" s="278"/>
      <c r="F616" s="278"/>
      <c r="G616" s="278"/>
      <c r="H616" s="278"/>
    </row>
    <row r="617" spans="4:8" ht="12.75" customHeight="1" x14ac:dyDescent="0.25">
      <c r="D617" s="281"/>
      <c r="E617" s="278"/>
      <c r="F617" s="278"/>
      <c r="G617" s="278"/>
      <c r="H617" s="278"/>
    </row>
    <row r="618" spans="4:8" ht="12.75" customHeight="1" x14ac:dyDescent="0.25">
      <c r="D618" s="281"/>
      <c r="E618" s="278"/>
      <c r="F618" s="278"/>
      <c r="G618" s="278"/>
      <c r="H618" s="278"/>
    </row>
    <row r="619" spans="4:8" ht="12.75" customHeight="1" x14ac:dyDescent="0.25">
      <c r="D619" s="281"/>
      <c r="E619" s="278"/>
      <c r="F619" s="278"/>
      <c r="G619" s="278"/>
      <c r="H619" s="278"/>
    </row>
    <row r="620" spans="4:8" ht="12.75" customHeight="1" x14ac:dyDescent="0.25">
      <c r="D620" s="281"/>
      <c r="E620" s="278"/>
      <c r="F620" s="278"/>
      <c r="G620" s="278"/>
      <c r="H620" s="278"/>
    </row>
    <row r="621" spans="4:8" ht="12.75" customHeight="1" x14ac:dyDescent="0.25">
      <c r="D621" s="281"/>
      <c r="E621" s="278"/>
      <c r="F621" s="278"/>
      <c r="G621" s="278"/>
      <c r="H621" s="278"/>
    </row>
    <row r="622" spans="4:8" ht="12.75" customHeight="1" x14ac:dyDescent="0.25">
      <c r="D622" s="281"/>
      <c r="E622" s="278"/>
      <c r="F622" s="278"/>
      <c r="G622" s="278"/>
      <c r="H622" s="278"/>
    </row>
    <row r="623" spans="4:8" ht="12.75" customHeight="1" x14ac:dyDescent="0.25">
      <c r="D623" s="281"/>
      <c r="E623" s="278"/>
      <c r="F623" s="278"/>
      <c r="G623" s="278"/>
      <c r="H623" s="278"/>
    </row>
    <row r="624" spans="4:8" ht="12.75" customHeight="1" x14ac:dyDescent="0.25">
      <c r="D624" s="281"/>
      <c r="E624" s="278"/>
      <c r="F624" s="278"/>
      <c r="G624" s="278"/>
      <c r="H624" s="278"/>
    </row>
    <row r="625" spans="4:8" ht="12.75" customHeight="1" x14ac:dyDescent="0.25">
      <c r="D625" s="281"/>
      <c r="E625" s="278"/>
      <c r="F625" s="278"/>
      <c r="G625" s="278"/>
      <c r="H625" s="278"/>
    </row>
    <row r="626" spans="4:8" ht="12.75" customHeight="1" x14ac:dyDescent="0.25">
      <c r="D626" s="281"/>
      <c r="E626" s="278"/>
      <c r="F626" s="278"/>
      <c r="G626" s="278"/>
      <c r="H626" s="278"/>
    </row>
    <row r="627" spans="4:8" ht="12.75" customHeight="1" x14ac:dyDescent="0.25">
      <c r="D627" s="281"/>
      <c r="E627" s="278"/>
      <c r="F627" s="278"/>
      <c r="G627" s="278"/>
      <c r="H627" s="278"/>
    </row>
    <row r="628" spans="4:8" ht="12.75" customHeight="1" x14ac:dyDescent="0.25">
      <c r="D628" s="281"/>
      <c r="E628" s="278"/>
      <c r="F628" s="278"/>
      <c r="G628" s="278"/>
      <c r="H628" s="278"/>
    </row>
    <row r="629" spans="4:8" ht="12.75" customHeight="1" x14ac:dyDescent="0.25">
      <c r="D629" s="281"/>
      <c r="E629" s="278"/>
      <c r="F629" s="278"/>
      <c r="G629" s="278"/>
      <c r="H629" s="278"/>
    </row>
    <row r="630" spans="4:8" ht="12.75" customHeight="1" x14ac:dyDescent="0.25">
      <c r="D630" s="281"/>
      <c r="E630" s="278"/>
      <c r="F630" s="278"/>
      <c r="G630" s="278"/>
      <c r="H630" s="278"/>
    </row>
    <row r="631" spans="4:8" ht="12.75" customHeight="1" x14ac:dyDescent="0.25">
      <c r="D631" s="281"/>
      <c r="E631" s="278"/>
      <c r="F631" s="278"/>
      <c r="G631" s="278"/>
      <c r="H631" s="278"/>
    </row>
    <row r="632" spans="4:8" ht="12.75" customHeight="1" x14ac:dyDescent="0.25">
      <c r="D632" s="281"/>
      <c r="E632" s="278"/>
      <c r="F632" s="278"/>
      <c r="G632" s="278"/>
      <c r="H632" s="278"/>
    </row>
    <row r="633" spans="4:8" ht="12.75" customHeight="1" x14ac:dyDescent="0.25">
      <c r="D633" s="281"/>
      <c r="E633" s="278"/>
      <c r="F633" s="278"/>
      <c r="G633" s="278"/>
      <c r="H633" s="278"/>
    </row>
    <row r="634" spans="4:8" ht="12.75" customHeight="1" x14ac:dyDescent="0.25">
      <c r="D634" s="281"/>
      <c r="E634" s="278"/>
      <c r="F634" s="278"/>
      <c r="G634" s="278"/>
      <c r="H634" s="278"/>
    </row>
    <row r="635" spans="4:8" ht="12.75" customHeight="1" x14ac:dyDescent="0.25">
      <c r="D635" s="281"/>
      <c r="E635" s="278"/>
      <c r="F635" s="278"/>
      <c r="G635" s="278"/>
      <c r="H635" s="278"/>
    </row>
    <row r="636" spans="4:8" ht="12.75" customHeight="1" x14ac:dyDescent="0.25">
      <c r="D636" s="281"/>
      <c r="E636" s="278"/>
      <c r="F636" s="278"/>
      <c r="G636" s="278"/>
      <c r="H636" s="278"/>
    </row>
    <row r="637" spans="4:8" ht="12.75" customHeight="1" x14ac:dyDescent="0.25">
      <c r="D637" s="281"/>
      <c r="E637" s="278"/>
      <c r="F637" s="278"/>
      <c r="G637" s="278"/>
      <c r="H637" s="278"/>
    </row>
    <row r="638" spans="4:8" ht="12.75" customHeight="1" x14ac:dyDescent="0.25">
      <c r="D638" s="281"/>
      <c r="E638" s="278"/>
      <c r="F638" s="278"/>
      <c r="G638" s="278"/>
      <c r="H638" s="278"/>
    </row>
    <row r="639" spans="4:8" ht="12.75" customHeight="1" x14ac:dyDescent="0.25">
      <c r="D639" s="281"/>
      <c r="E639" s="278"/>
      <c r="F639" s="278"/>
      <c r="G639" s="278"/>
      <c r="H639" s="278"/>
    </row>
    <row r="640" spans="4:8" ht="12.75" customHeight="1" x14ac:dyDescent="0.25">
      <c r="D640" s="281"/>
      <c r="E640" s="278"/>
      <c r="F640" s="278"/>
      <c r="G640" s="278"/>
      <c r="H640" s="278"/>
    </row>
    <row r="641" spans="4:8" ht="12.75" customHeight="1" x14ac:dyDescent="0.25">
      <c r="D641" s="281"/>
      <c r="E641" s="278"/>
      <c r="F641" s="278"/>
      <c r="G641" s="278"/>
      <c r="H641" s="278"/>
    </row>
    <row r="642" spans="4:8" ht="12.75" customHeight="1" x14ac:dyDescent="0.25">
      <c r="D642" s="281"/>
      <c r="E642" s="278"/>
      <c r="F642" s="278"/>
      <c r="G642" s="278"/>
      <c r="H642" s="278"/>
    </row>
    <row r="643" spans="4:8" ht="12.75" customHeight="1" x14ac:dyDescent="0.25">
      <c r="D643" s="281"/>
      <c r="E643" s="278"/>
      <c r="F643" s="278"/>
      <c r="G643" s="278"/>
      <c r="H643" s="278"/>
    </row>
    <row r="644" spans="4:8" ht="12.75" customHeight="1" x14ac:dyDescent="0.25">
      <c r="D644" s="281"/>
      <c r="E644" s="278"/>
      <c r="F644" s="278"/>
      <c r="G644" s="278"/>
      <c r="H644" s="278"/>
    </row>
    <row r="645" spans="4:8" ht="12.75" customHeight="1" x14ac:dyDescent="0.25">
      <c r="D645" s="281"/>
      <c r="E645" s="278"/>
      <c r="F645" s="278"/>
      <c r="G645" s="278"/>
      <c r="H645" s="278"/>
    </row>
    <row r="646" spans="4:8" ht="12.75" customHeight="1" x14ac:dyDescent="0.25">
      <c r="D646" s="281"/>
      <c r="E646" s="278"/>
      <c r="F646" s="278"/>
      <c r="G646" s="278"/>
      <c r="H646" s="278"/>
    </row>
    <row r="647" spans="4:8" ht="12.75" customHeight="1" x14ac:dyDescent="0.25">
      <c r="D647" s="281"/>
      <c r="E647" s="278"/>
      <c r="F647" s="278"/>
      <c r="G647" s="278"/>
      <c r="H647" s="278"/>
    </row>
    <row r="648" spans="4:8" ht="12.75" customHeight="1" x14ac:dyDescent="0.25">
      <c r="D648" s="281"/>
      <c r="E648" s="278"/>
      <c r="F648" s="278"/>
      <c r="G648" s="278"/>
      <c r="H648" s="278"/>
    </row>
    <row r="649" spans="4:8" ht="12.75" customHeight="1" x14ac:dyDescent="0.25">
      <c r="D649" s="281"/>
      <c r="E649" s="278"/>
      <c r="F649" s="278"/>
      <c r="G649" s="278"/>
      <c r="H649" s="278"/>
    </row>
    <row r="650" spans="4:8" ht="12.75" customHeight="1" x14ac:dyDescent="0.25">
      <c r="D650" s="281"/>
      <c r="E650" s="278"/>
      <c r="F650" s="278"/>
      <c r="G650" s="278"/>
      <c r="H650" s="278"/>
    </row>
    <row r="651" spans="4:8" ht="12.75" customHeight="1" x14ac:dyDescent="0.25">
      <c r="D651" s="281"/>
      <c r="E651" s="278"/>
      <c r="F651" s="278"/>
      <c r="G651" s="278"/>
      <c r="H651" s="278"/>
    </row>
    <row r="652" spans="4:8" ht="12.75" customHeight="1" x14ac:dyDescent="0.25">
      <c r="D652" s="281"/>
      <c r="E652" s="278"/>
      <c r="F652" s="278"/>
      <c r="G652" s="278"/>
      <c r="H652" s="278"/>
    </row>
    <row r="653" spans="4:8" ht="12.75" customHeight="1" x14ac:dyDescent="0.25">
      <c r="D653" s="281"/>
      <c r="E653" s="278"/>
      <c r="F653" s="278"/>
      <c r="G653" s="278"/>
      <c r="H653" s="278"/>
    </row>
    <row r="654" spans="4:8" ht="12.75" customHeight="1" x14ac:dyDescent="0.25">
      <c r="D654" s="281"/>
      <c r="E654" s="278"/>
      <c r="F654" s="278"/>
      <c r="G654" s="278"/>
      <c r="H654" s="278"/>
    </row>
    <row r="655" spans="4:8" ht="12.75" customHeight="1" x14ac:dyDescent="0.25">
      <c r="D655" s="281"/>
      <c r="E655" s="278"/>
      <c r="F655" s="278"/>
      <c r="G655" s="278"/>
      <c r="H655" s="278"/>
    </row>
    <row r="656" spans="4:8" ht="12.75" customHeight="1" x14ac:dyDescent="0.25">
      <c r="D656" s="281"/>
      <c r="E656" s="278"/>
      <c r="F656" s="278"/>
      <c r="G656" s="278"/>
      <c r="H656" s="278"/>
    </row>
    <row r="657" spans="4:8" ht="12.75" customHeight="1" x14ac:dyDescent="0.25">
      <c r="D657" s="281"/>
      <c r="E657" s="278"/>
      <c r="F657" s="278"/>
      <c r="G657" s="278"/>
      <c r="H657" s="278"/>
    </row>
    <row r="658" spans="4:8" ht="12.75" customHeight="1" x14ac:dyDescent="0.25">
      <c r="D658" s="281"/>
      <c r="E658" s="278"/>
      <c r="F658" s="278"/>
      <c r="G658" s="278"/>
      <c r="H658" s="278"/>
    </row>
    <row r="659" spans="4:8" ht="12.75" customHeight="1" x14ac:dyDescent="0.25">
      <c r="D659" s="281"/>
      <c r="E659" s="278"/>
      <c r="F659" s="278"/>
      <c r="G659" s="278"/>
      <c r="H659" s="278"/>
    </row>
    <row r="660" spans="4:8" ht="12.75" customHeight="1" x14ac:dyDescent="0.25">
      <c r="D660" s="281"/>
      <c r="E660" s="278"/>
      <c r="F660" s="278"/>
      <c r="G660" s="278"/>
      <c r="H660" s="278"/>
    </row>
    <row r="661" spans="4:8" ht="12.75" customHeight="1" x14ac:dyDescent="0.25">
      <c r="D661" s="281"/>
      <c r="E661" s="278"/>
      <c r="F661" s="278"/>
      <c r="G661" s="278"/>
      <c r="H661" s="278"/>
    </row>
    <row r="662" spans="4:8" ht="12.75" customHeight="1" x14ac:dyDescent="0.25">
      <c r="D662" s="281"/>
      <c r="E662" s="278"/>
      <c r="F662" s="278"/>
      <c r="G662" s="278"/>
      <c r="H662" s="278"/>
    </row>
    <row r="663" spans="4:8" ht="12.75" customHeight="1" x14ac:dyDescent="0.25">
      <c r="D663" s="281"/>
      <c r="E663" s="278"/>
      <c r="F663" s="278"/>
      <c r="G663" s="278"/>
      <c r="H663" s="278"/>
    </row>
    <row r="664" spans="4:8" ht="12.75" customHeight="1" x14ac:dyDescent="0.25">
      <c r="D664" s="281"/>
      <c r="E664" s="278"/>
      <c r="F664" s="278"/>
      <c r="G664" s="278"/>
      <c r="H664" s="278"/>
    </row>
    <row r="665" spans="4:8" ht="12.75" customHeight="1" x14ac:dyDescent="0.25">
      <c r="D665" s="281"/>
      <c r="E665" s="278"/>
      <c r="F665" s="278"/>
      <c r="G665" s="278"/>
      <c r="H665" s="278"/>
    </row>
    <row r="666" spans="4:8" ht="12.75" customHeight="1" x14ac:dyDescent="0.25">
      <c r="D666" s="281"/>
      <c r="E666" s="278"/>
      <c r="F666" s="278"/>
      <c r="G666" s="278"/>
      <c r="H666" s="278"/>
    </row>
    <row r="667" spans="4:8" ht="12.75" customHeight="1" x14ac:dyDescent="0.25">
      <c r="D667" s="281"/>
      <c r="E667" s="278"/>
      <c r="F667" s="278"/>
      <c r="G667" s="278"/>
      <c r="H667" s="278"/>
    </row>
    <row r="668" spans="4:8" ht="12.75" customHeight="1" x14ac:dyDescent="0.25">
      <c r="D668" s="281"/>
      <c r="E668" s="278"/>
      <c r="F668" s="278"/>
      <c r="G668" s="278"/>
      <c r="H668" s="278"/>
    </row>
    <row r="669" spans="4:8" ht="12.75" customHeight="1" x14ac:dyDescent="0.25">
      <c r="D669" s="281"/>
      <c r="E669" s="278"/>
      <c r="F669" s="278"/>
      <c r="G669" s="278"/>
      <c r="H669" s="278"/>
    </row>
    <row r="670" spans="4:8" ht="12.75" customHeight="1" x14ac:dyDescent="0.25">
      <c r="D670" s="281"/>
      <c r="E670" s="278"/>
      <c r="F670" s="278"/>
      <c r="G670" s="278"/>
      <c r="H670" s="278"/>
    </row>
    <row r="671" spans="4:8" ht="12.75" customHeight="1" x14ac:dyDescent="0.25">
      <c r="D671" s="281"/>
      <c r="E671" s="278"/>
      <c r="F671" s="278"/>
      <c r="G671" s="278"/>
      <c r="H671" s="278"/>
    </row>
    <row r="672" spans="4:8" ht="12.75" customHeight="1" x14ac:dyDescent="0.25">
      <c r="D672" s="281"/>
      <c r="E672" s="278"/>
      <c r="F672" s="278"/>
      <c r="G672" s="278"/>
      <c r="H672" s="278"/>
    </row>
    <row r="673" spans="4:8" ht="12.75" customHeight="1" x14ac:dyDescent="0.25">
      <c r="D673" s="281"/>
      <c r="E673" s="278"/>
      <c r="F673" s="278"/>
      <c r="G673" s="278"/>
      <c r="H673" s="278"/>
    </row>
    <row r="674" spans="4:8" ht="12.75" customHeight="1" x14ac:dyDescent="0.25">
      <c r="D674" s="281"/>
      <c r="E674" s="278"/>
      <c r="F674" s="278"/>
      <c r="G674" s="278"/>
      <c r="H674" s="278"/>
    </row>
    <row r="675" spans="4:8" ht="12.75" customHeight="1" x14ac:dyDescent="0.25">
      <c r="D675" s="281"/>
      <c r="E675" s="278"/>
      <c r="F675" s="278"/>
      <c r="G675" s="278"/>
      <c r="H675" s="278"/>
    </row>
    <row r="676" spans="4:8" ht="12.75" customHeight="1" x14ac:dyDescent="0.25">
      <c r="D676" s="281"/>
      <c r="E676" s="278"/>
      <c r="F676" s="278"/>
      <c r="G676" s="278"/>
      <c r="H676" s="278"/>
    </row>
    <row r="677" spans="4:8" ht="12.75" customHeight="1" x14ac:dyDescent="0.25">
      <c r="D677" s="281"/>
      <c r="E677" s="278"/>
      <c r="F677" s="278"/>
      <c r="G677" s="278"/>
      <c r="H677" s="278"/>
    </row>
    <row r="678" spans="4:8" ht="12.75" customHeight="1" x14ac:dyDescent="0.25">
      <c r="D678" s="281"/>
      <c r="E678" s="278"/>
      <c r="F678" s="278"/>
      <c r="G678" s="278"/>
      <c r="H678" s="278"/>
    </row>
    <row r="679" spans="4:8" ht="12.75" customHeight="1" x14ac:dyDescent="0.25">
      <c r="D679" s="281"/>
      <c r="E679" s="278"/>
      <c r="F679" s="278"/>
      <c r="G679" s="278"/>
      <c r="H679" s="278"/>
    </row>
    <row r="680" spans="4:8" ht="12.75" customHeight="1" x14ac:dyDescent="0.25">
      <c r="D680" s="281"/>
      <c r="E680" s="278"/>
      <c r="F680" s="278"/>
      <c r="G680" s="278"/>
      <c r="H680" s="278"/>
    </row>
    <row r="681" spans="4:8" ht="12.75" customHeight="1" x14ac:dyDescent="0.25">
      <c r="D681" s="281"/>
      <c r="E681" s="278"/>
      <c r="F681" s="278"/>
      <c r="G681" s="278"/>
      <c r="H681" s="278"/>
    </row>
    <row r="682" spans="4:8" ht="12.75" customHeight="1" x14ac:dyDescent="0.25">
      <c r="D682" s="281"/>
      <c r="E682" s="278"/>
      <c r="F682" s="278"/>
      <c r="G682" s="278"/>
      <c r="H682" s="278"/>
    </row>
    <row r="683" spans="4:8" ht="12.75" customHeight="1" x14ac:dyDescent="0.25">
      <c r="D683" s="281"/>
      <c r="E683" s="278"/>
      <c r="F683" s="278"/>
      <c r="G683" s="278"/>
      <c r="H683" s="278"/>
    </row>
    <row r="684" spans="4:8" ht="12.75" customHeight="1" x14ac:dyDescent="0.25">
      <c r="D684" s="281"/>
      <c r="E684" s="278"/>
      <c r="F684" s="278"/>
      <c r="G684" s="278"/>
      <c r="H684" s="278"/>
    </row>
    <row r="685" spans="4:8" ht="12.75" customHeight="1" x14ac:dyDescent="0.25">
      <c r="D685" s="281"/>
      <c r="E685" s="278"/>
      <c r="F685" s="278"/>
      <c r="G685" s="278"/>
      <c r="H685" s="278"/>
    </row>
    <row r="686" spans="4:8" ht="12.75" customHeight="1" x14ac:dyDescent="0.25">
      <c r="D686" s="281"/>
      <c r="E686" s="278"/>
      <c r="F686" s="278"/>
      <c r="G686" s="278"/>
      <c r="H686" s="278"/>
    </row>
    <row r="687" spans="4:8" ht="12.75" customHeight="1" x14ac:dyDescent="0.25">
      <c r="D687" s="281"/>
      <c r="E687" s="278"/>
      <c r="F687" s="278"/>
      <c r="G687" s="278"/>
      <c r="H687" s="278"/>
    </row>
    <row r="688" spans="4:8" ht="12.75" customHeight="1" x14ac:dyDescent="0.25">
      <c r="D688" s="281"/>
      <c r="E688" s="278"/>
      <c r="F688" s="278"/>
      <c r="G688" s="278"/>
      <c r="H688" s="278"/>
    </row>
    <row r="689" spans="4:8" ht="12.75" customHeight="1" x14ac:dyDescent="0.25">
      <c r="D689" s="281"/>
      <c r="E689" s="278"/>
      <c r="F689" s="278"/>
      <c r="G689" s="278"/>
      <c r="H689" s="278"/>
    </row>
    <row r="690" spans="4:8" ht="12.75" customHeight="1" x14ac:dyDescent="0.25">
      <c r="D690" s="281"/>
      <c r="E690" s="278"/>
      <c r="F690" s="278"/>
      <c r="G690" s="278"/>
      <c r="H690" s="278"/>
    </row>
    <row r="691" spans="4:8" ht="12.75" customHeight="1" x14ac:dyDescent="0.25">
      <c r="D691" s="281"/>
      <c r="E691" s="278"/>
      <c r="F691" s="278"/>
      <c r="G691" s="278"/>
      <c r="H691" s="278"/>
    </row>
    <row r="692" spans="4:8" ht="12.75" customHeight="1" x14ac:dyDescent="0.25">
      <c r="D692" s="281"/>
      <c r="E692" s="278"/>
      <c r="F692" s="278"/>
      <c r="G692" s="278"/>
      <c r="H692" s="278"/>
    </row>
    <row r="693" spans="4:8" ht="12.75" customHeight="1" x14ac:dyDescent="0.25">
      <c r="D693" s="281"/>
      <c r="E693" s="278"/>
      <c r="F693" s="278"/>
      <c r="G693" s="278"/>
      <c r="H693" s="278"/>
    </row>
    <row r="694" spans="4:8" ht="12.75" customHeight="1" x14ac:dyDescent="0.25">
      <c r="D694" s="281"/>
      <c r="E694" s="278"/>
      <c r="F694" s="278"/>
      <c r="G694" s="278"/>
      <c r="H694" s="278"/>
    </row>
    <row r="695" spans="4:8" ht="12.75" customHeight="1" x14ac:dyDescent="0.25">
      <c r="D695" s="281"/>
      <c r="E695" s="278"/>
      <c r="F695" s="278"/>
      <c r="G695" s="278"/>
      <c r="H695" s="278"/>
    </row>
    <row r="696" spans="4:8" ht="12.75" customHeight="1" x14ac:dyDescent="0.25">
      <c r="D696" s="281"/>
      <c r="E696" s="278"/>
      <c r="F696" s="278"/>
      <c r="G696" s="278"/>
      <c r="H696" s="278"/>
    </row>
    <row r="697" spans="4:8" ht="12.75" customHeight="1" x14ac:dyDescent="0.25">
      <c r="D697" s="281"/>
      <c r="E697" s="278"/>
      <c r="F697" s="278"/>
      <c r="G697" s="278"/>
      <c r="H697" s="278"/>
    </row>
    <row r="698" spans="4:8" ht="12.75" customHeight="1" x14ac:dyDescent="0.25">
      <c r="D698" s="281"/>
      <c r="E698" s="278"/>
      <c r="F698" s="278"/>
      <c r="G698" s="278"/>
      <c r="H698" s="278"/>
    </row>
    <row r="699" spans="4:8" ht="12.75" customHeight="1" x14ac:dyDescent="0.25">
      <c r="D699" s="281"/>
      <c r="E699" s="278"/>
      <c r="F699" s="278"/>
      <c r="G699" s="278"/>
      <c r="H699" s="278"/>
    </row>
    <row r="700" spans="4:8" ht="12.75" customHeight="1" x14ac:dyDescent="0.25">
      <c r="D700" s="281"/>
      <c r="E700" s="278"/>
      <c r="F700" s="278"/>
      <c r="G700" s="278"/>
      <c r="H700" s="278"/>
    </row>
    <row r="701" spans="4:8" ht="12.75" customHeight="1" x14ac:dyDescent="0.25">
      <c r="D701" s="281"/>
      <c r="E701" s="278"/>
      <c r="F701" s="278"/>
      <c r="G701" s="278"/>
      <c r="H701" s="278"/>
    </row>
    <row r="702" spans="4:8" ht="12.75" customHeight="1" x14ac:dyDescent="0.25">
      <c r="D702" s="281"/>
      <c r="E702" s="278"/>
      <c r="F702" s="278"/>
      <c r="G702" s="278"/>
      <c r="H702" s="278"/>
    </row>
    <row r="703" spans="4:8" ht="12.75" customHeight="1" x14ac:dyDescent="0.25">
      <c r="D703" s="281"/>
      <c r="E703" s="278"/>
      <c r="F703" s="278"/>
      <c r="G703" s="278"/>
      <c r="H703" s="278"/>
    </row>
    <row r="704" spans="4:8" ht="12.75" customHeight="1" x14ac:dyDescent="0.25">
      <c r="D704" s="281"/>
      <c r="E704" s="278"/>
      <c r="F704" s="278"/>
      <c r="G704" s="278"/>
      <c r="H704" s="278"/>
    </row>
    <row r="705" spans="4:8" ht="12.75" customHeight="1" x14ac:dyDescent="0.25">
      <c r="D705" s="281"/>
      <c r="E705" s="278"/>
      <c r="F705" s="278"/>
      <c r="G705" s="278"/>
      <c r="H705" s="278"/>
    </row>
    <row r="706" spans="4:8" ht="12.75" customHeight="1" x14ac:dyDescent="0.25">
      <c r="D706" s="281"/>
      <c r="E706" s="278"/>
      <c r="F706" s="278"/>
      <c r="G706" s="278"/>
      <c r="H706" s="278"/>
    </row>
    <row r="707" spans="4:8" ht="12.75" customHeight="1" x14ac:dyDescent="0.25">
      <c r="D707" s="281"/>
      <c r="E707" s="278"/>
      <c r="F707" s="278"/>
      <c r="G707" s="278"/>
      <c r="H707" s="278"/>
    </row>
    <row r="708" spans="4:8" ht="12.75" customHeight="1" x14ac:dyDescent="0.25">
      <c r="D708" s="281"/>
      <c r="E708" s="278"/>
      <c r="F708" s="278"/>
      <c r="G708" s="278"/>
      <c r="H708" s="278"/>
    </row>
    <row r="709" spans="4:8" ht="12.75" customHeight="1" x14ac:dyDescent="0.25">
      <c r="D709" s="281"/>
      <c r="E709" s="278"/>
      <c r="F709" s="278"/>
      <c r="G709" s="278"/>
      <c r="H709" s="278"/>
    </row>
    <row r="710" spans="4:8" ht="12.75" customHeight="1" x14ac:dyDescent="0.25">
      <c r="D710" s="281"/>
      <c r="E710" s="278"/>
      <c r="F710" s="278"/>
      <c r="G710" s="278"/>
      <c r="H710" s="278"/>
    </row>
    <row r="711" spans="4:8" ht="12.75" customHeight="1" x14ac:dyDescent="0.25">
      <c r="D711" s="281"/>
      <c r="E711" s="278"/>
      <c r="F711" s="278"/>
      <c r="G711" s="278"/>
      <c r="H711" s="278"/>
    </row>
    <row r="712" spans="4:8" ht="12.75" customHeight="1" x14ac:dyDescent="0.25">
      <c r="D712" s="281"/>
      <c r="E712" s="278"/>
      <c r="F712" s="278"/>
      <c r="G712" s="278"/>
      <c r="H712" s="278"/>
    </row>
    <row r="713" spans="4:8" ht="12.75" customHeight="1" x14ac:dyDescent="0.25">
      <c r="D713" s="281"/>
      <c r="E713" s="278"/>
      <c r="F713" s="278"/>
      <c r="G713" s="278"/>
      <c r="H713" s="278"/>
    </row>
    <row r="714" spans="4:8" ht="12.75" customHeight="1" x14ac:dyDescent="0.25">
      <c r="D714" s="281"/>
      <c r="E714" s="278"/>
      <c r="F714" s="278"/>
      <c r="G714" s="278"/>
      <c r="H714" s="278"/>
    </row>
    <row r="715" spans="4:8" ht="12.75" customHeight="1" x14ac:dyDescent="0.25">
      <c r="D715" s="281"/>
      <c r="E715" s="278"/>
      <c r="F715" s="278"/>
      <c r="G715" s="278"/>
      <c r="H715" s="278"/>
    </row>
    <row r="716" spans="4:8" ht="12.75" customHeight="1" x14ac:dyDescent="0.25">
      <c r="D716" s="281"/>
      <c r="E716" s="278"/>
      <c r="F716" s="278"/>
      <c r="G716" s="278"/>
      <c r="H716" s="278"/>
    </row>
    <row r="717" spans="4:8" ht="12.75" customHeight="1" x14ac:dyDescent="0.25">
      <c r="D717" s="281"/>
      <c r="E717" s="278"/>
      <c r="F717" s="278"/>
      <c r="G717" s="278"/>
      <c r="H717" s="278"/>
    </row>
    <row r="718" spans="4:8" ht="12.75" customHeight="1" x14ac:dyDescent="0.25">
      <c r="D718" s="281"/>
      <c r="E718" s="278"/>
      <c r="F718" s="278"/>
      <c r="G718" s="278"/>
      <c r="H718" s="278"/>
    </row>
    <row r="719" spans="4:8" ht="12.75" customHeight="1" x14ac:dyDescent="0.25">
      <c r="D719" s="281"/>
      <c r="E719" s="278"/>
      <c r="F719" s="278"/>
      <c r="G719" s="278"/>
      <c r="H719" s="278"/>
    </row>
    <row r="720" spans="4:8" ht="12.75" customHeight="1" x14ac:dyDescent="0.25">
      <c r="D720" s="281"/>
      <c r="E720" s="278"/>
      <c r="F720" s="278"/>
      <c r="G720" s="278"/>
      <c r="H720" s="278"/>
    </row>
    <row r="721" spans="4:8" ht="12.75" customHeight="1" x14ac:dyDescent="0.25">
      <c r="D721" s="281"/>
      <c r="E721" s="278"/>
      <c r="F721" s="278"/>
      <c r="G721" s="278"/>
      <c r="H721" s="278"/>
    </row>
    <row r="722" spans="4:8" ht="12.75" customHeight="1" x14ac:dyDescent="0.25">
      <c r="D722" s="281"/>
      <c r="E722" s="278"/>
      <c r="F722" s="278"/>
      <c r="G722" s="278"/>
      <c r="H722" s="278"/>
    </row>
    <row r="723" spans="4:8" ht="12.75" customHeight="1" x14ac:dyDescent="0.25">
      <c r="D723" s="281"/>
      <c r="E723" s="278"/>
      <c r="F723" s="278"/>
      <c r="G723" s="278"/>
      <c r="H723" s="278"/>
    </row>
    <row r="724" spans="4:8" ht="12.75" customHeight="1" x14ac:dyDescent="0.25">
      <c r="D724" s="281"/>
      <c r="E724" s="278"/>
      <c r="F724" s="278"/>
      <c r="G724" s="278"/>
      <c r="H724" s="278"/>
    </row>
    <row r="725" spans="4:8" ht="12.75" customHeight="1" x14ac:dyDescent="0.25">
      <c r="D725" s="281"/>
      <c r="E725" s="278"/>
      <c r="F725" s="278"/>
      <c r="G725" s="278"/>
      <c r="H725" s="278"/>
    </row>
    <row r="726" spans="4:8" ht="12.75" customHeight="1" x14ac:dyDescent="0.25">
      <c r="D726" s="281"/>
      <c r="E726" s="278"/>
      <c r="F726" s="278"/>
      <c r="G726" s="278"/>
      <c r="H726" s="278"/>
    </row>
    <row r="727" spans="4:8" ht="12.75" customHeight="1" x14ac:dyDescent="0.25">
      <c r="D727" s="281"/>
      <c r="E727" s="278"/>
      <c r="F727" s="278"/>
      <c r="G727" s="278"/>
      <c r="H727" s="278"/>
    </row>
    <row r="728" spans="4:8" ht="12.75" customHeight="1" x14ac:dyDescent="0.25">
      <c r="D728" s="281"/>
      <c r="E728" s="278"/>
      <c r="F728" s="278"/>
      <c r="G728" s="278"/>
      <c r="H728" s="278"/>
    </row>
    <row r="729" spans="4:8" ht="12.75" customHeight="1" x14ac:dyDescent="0.25">
      <c r="D729" s="281"/>
      <c r="E729" s="278"/>
      <c r="F729" s="278"/>
      <c r="G729" s="278"/>
      <c r="H729" s="278"/>
    </row>
    <row r="730" spans="4:8" ht="12.75" customHeight="1" x14ac:dyDescent="0.25">
      <c r="D730" s="281"/>
      <c r="E730" s="278"/>
      <c r="F730" s="278"/>
      <c r="G730" s="278"/>
      <c r="H730" s="278"/>
    </row>
    <row r="731" spans="4:8" ht="12.75" customHeight="1" x14ac:dyDescent="0.25">
      <c r="D731" s="281"/>
      <c r="E731" s="278"/>
      <c r="F731" s="278"/>
      <c r="G731" s="278"/>
      <c r="H731" s="278"/>
    </row>
    <row r="732" spans="4:8" ht="12.75" customHeight="1" x14ac:dyDescent="0.25">
      <c r="D732" s="281"/>
      <c r="E732" s="278"/>
      <c r="F732" s="278"/>
      <c r="G732" s="278"/>
      <c r="H732" s="278"/>
    </row>
    <row r="733" spans="4:8" ht="12.75" customHeight="1" x14ac:dyDescent="0.25">
      <c r="D733" s="281"/>
      <c r="E733" s="278"/>
      <c r="F733" s="278"/>
      <c r="G733" s="278"/>
      <c r="H733" s="278"/>
    </row>
    <row r="734" spans="4:8" ht="12.75" customHeight="1" x14ac:dyDescent="0.25">
      <c r="D734" s="281"/>
      <c r="E734" s="278"/>
      <c r="F734" s="278"/>
      <c r="G734" s="278"/>
      <c r="H734" s="278"/>
    </row>
    <row r="735" spans="4:8" ht="12.75" customHeight="1" x14ac:dyDescent="0.25">
      <c r="D735" s="281"/>
      <c r="E735" s="278"/>
      <c r="F735" s="278"/>
      <c r="G735" s="278"/>
      <c r="H735" s="278"/>
    </row>
    <row r="736" spans="4:8" ht="12.75" customHeight="1" x14ac:dyDescent="0.25">
      <c r="D736" s="281"/>
      <c r="E736" s="278"/>
      <c r="F736" s="278"/>
      <c r="G736" s="278"/>
      <c r="H736" s="278"/>
    </row>
    <row r="737" spans="4:8" ht="12.75" customHeight="1" x14ac:dyDescent="0.25">
      <c r="D737" s="281"/>
      <c r="E737" s="278"/>
      <c r="F737" s="278"/>
      <c r="G737" s="278"/>
      <c r="H737" s="278"/>
    </row>
    <row r="738" spans="4:8" ht="12.75" customHeight="1" x14ac:dyDescent="0.25">
      <c r="D738" s="281"/>
      <c r="E738" s="278"/>
      <c r="F738" s="278"/>
      <c r="G738" s="278"/>
      <c r="H738" s="278"/>
    </row>
    <row r="739" spans="4:8" ht="12.75" customHeight="1" x14ac:dyDescent="0.25">
      <c r="D739" s="281"/>
      <c r="E739" s="278"/>
      <c r="F739" s="278"/>
      <c r="G739" s="278"/>
      <c r="H739" s="278"/>
    </row>
    <row r="740" spans="4:8" ht="12.75" customHeight="1" x14ac:dyDescent="0.25">
      <c r="D740" s="281"/>
      <c r="E740" s="278"/>
      <c r="F740" s="278"/>
      <c r="G740" s="278"/>
      <c r="H740" s="278"/>
    </row>
    <row r="741" spans="4:8" ht="12.75" customHeight="1" x14ac:dyDescent="0.25">
      <c r="D741" s="281"/>
      <c r="E741" s="278"/>
      <c r="F741" s="278"/>
      <c r="G741" s="278"/>
      <c r="H741" s="278"/>
    </row>
    <row r="742" spans="4:8" ht="12.75" customHeight="1" x14ac:dyDescent="0.25">
      <c r="D742" s="281"/>
      <c r="E742" s="278"/>
      <c r="F742" s="278"/>
      <c r="G742" s="278"/>
      <c r="H742" s="278"/>
    </row>
    <row r="743" spans="4:8" ht="12.75" customHeight="1" x14ac:dyDescent="0.25">
      <c r="D743" s="281"/>
      <c r="E743" s="278"/>
      <c r="F743" s="278"/>
      <c r="G743" s="278"/>
      <c r="H743" s="278"/>
    </row>
    <row r="744" spans="4:8" ht="12.75" customHeight="1" x14ac:dyDescent="0.25">
      <c r="D744" s="281"/>
      <c r="E744" s="278"/>
      <c r="F744" s="278"/>
      <c r="G744" s="278"/>
      <c r="H744" s="278"/>
    </row>
    <row r="745" spans="4:8" ht="12.75" customHeight="1" x14ac:dyDescent="0.25">
      <c r="D745" s="281"/>
      <c r="E745" s="278"/>
      <c r="F745" s="278"/>
      <c r="G745" s="278"/>
      <c r="H745" s="278"/>
    </row>
    <row r="746" spans="4:8" ht="12.75" customHeight="1" x14ac:dyDescent="0.25">
      <c r="D746" s="281"/>
      <c r="E746" s="278"/>
      <c r="F746" s="278"/>
      <c r="G746" s="278"/>
      <c r="H746" s="278"/>
    </row>
    <row r="747" spans="4:8" ht="12.75" customHeight="1" x14ac:dyDescent="0.25">
      <c r="D747" s="281"/>
      <c r="E747" s="278"/>
      <c r="F747" s="278"/>
      <c r="G747" s="278"/>
      <c r="H747" s="278"/>
    </row>
    <row r="748" spans="4:8" ht="12.75" customHeight="1" x14ac:dyDescent="0.25">
      <c r="D748" s="281"/>
      <c r="E748" s="278"/>
      <c r="F748" s="278"/>
      <c r="G748" s="278"/>
      <c r="H748" s="278"/>
    </row>
    <row r="749" spans="4:8" ht="12.75" customHeight="1" x14ac:dyDescent="0.25">
      <c r="D749" s="281"/>
      <c r="E749" s="278"/>
      <c r="F749" s="278"/>
      <c r="G749" s="278"/>
      <c r="H749" s="278"/>
    </row>
    <row r="750" spans="4:8" ht="12.75" customHeight="1" x14ac:dyDescent="0.25">
      <c r="D750" s="281"/>
      <c r="E750" s="278"/>
      <c r="F750" s="278"/>
      <c r="G750" s="278"/>
      <c r="H750" s="278"/>
    </row>
    <row r="751" spans="4:8" ht="12.75" customHeight="1" x14ac:dyDescent="0.25">
      <c r="D751" s="281"/>
      <c r="E751" s="278"/>
      <c r="F751" s="278"/>
      <c r="G751" s="278"/>
      <c r="H751" s="278"/>
    </row>
    <row r="752" spans="4:8" ht="13.5" customHeight="1" x14ac:dyDescent="0.25">
      <c r="D752" s="281"/>
      <c r="E752" s="278"/>
      <c r="F752" s="278"/>
      <c r="G752" s="278"/>
      <c r="H752" s="278"/>
    </row>
    <row r="753" spans="4:8" ht="12.75" customHeight="1" x14ac:dyDescent="0.25">
      <c r="D753" s="281"/>
      <c r="E753" s="278"/>
      <c r="F753" s="278"/>
      <c r="G753" s="278"/>
      <c r="H753" s="278"/>
    </row>
    <row r="754" spans="4:8" ht="12.75" customHeight="1" x14ac:dyDescent="0.25">
      <c r="D754" s="281"/>
      <c r="E754" s="278"/>
      <c r="F754" s="278"/>
      <c r="G754" s="278"/>
      <c r="H754" s="278"/>
    </row>
    <row r="755" spans="4:8" ht="12.75" customHeight="1" x14ac:dyDescent="0.25">
      <c r="D755" s="281"/>
      <c r="E755" s="278"/>
      <c r="F755" s="278"/>
      <c r="G755" s="278"/>
      <c r="H755" s="278"/>
    </row>
    <row r="756" spans="4:8" ht="12.75" customHeight="1" x14ac:dyDescent="0.25">
      <c r="D756" s="281"/>
      <c r="E756" s="278"/>
      <c r="F756" s="278"/>
      <c r="G756" s="278"/>
      <c r="H756" s="278"/>
    </row>
    <row r="757" spans="4:8" ht="12.75" customHeight="1" x14ac:dyDescent="0.25">
      <c r="D757" s="281"/>
      <c r="E757" s="278"/>
      <c r="F757" s="278"/>
      <c r="G757" s="278"/>
      <c r="H757" s="278"/>
    </row>
    <row r="758" spans="4:8" ht="12.75" customHeight="1" x14ac:dyDescent="0.25">
      <c r="D758" s="281"/>
      <c r="E758" s="278"/>
      <c r="F758" s="278"/>
      <c r="G758" s="278"/>
      <c r="H758" s="278"/>
    </row>
    <row r="759" spans="4:8" ht="12.75" customHeight="1" x14ac:dyDescent="0.25">
      <c r="D759" s="281"/>
      <c r="E759" s="278"/>
      <c r="F759" s="278"/>
      <c r="G759" s="278"/>
      <c r="H759" s="278"/>
    </row>
    <row r="760" spans="4:8" ht="12.75" customHeight="1" x14ac:dyDescent="0.25">
      <c r="D760" s="281"/>
      <c r="E760" s="278"/>
      <c r="F760" s="278"/>
      <c r="G760" s="278"/>
      <c r="H760" s="278"/>
    </row>
    <row r="761" spans="4:8" ht="12.75" customHeight="1" x14ac:dyDescent="0.25">
      <c r="D761" s="281"/>
      <c r="E761" s="278"/>
      <c r="F761" s="278"/>
      <c r="G761" s="278"/>
      <c r="H761" s="278"/>
    </row>
    <row r="762" spans="4:8" ht="12.75" customHeight="1" x14ac:dyDescent="0.25">
      <c r="D762" s="281"/>
      <c r="E762" s="278"/>
      <c r="F762" s="278"/>
      <c r="G762" s="278"/>
      <c r="H762" s="278"/>
    </row>
    <row r="763" spans="4:8" ht="12.75" customHeight="1" x14ac:dyDescent="0.25">
      <c r="D763" s="281"/>
      <c r="E763" s="278"/>
      <c r="F763" s="278"/>
      <c r="G763" s="278"/>
      <c r="H763" s="278"/>
    </row>
    <row r="764" spans="4:8" ht="12.75" customHeight="1" x14ac:dyDescent="0.25">
      <c r="D764" s="281"/>
      <c r="E764" s="278"/>
      <c r="F764" s="278"/>
      <c r="G764" s="278"/>
      <c r="H764" s="278"/>
    </row>
    <row r="765" spans="4:8" ht="12.75" customHeight="1" x14ac:dyDescent="0.25">
      <c r="D765" s="281"/>
      <c r="E765" s="278"/>
      <c r="F765" s="278"/>
      <c r="G765" s="278"/>
      <c r="H765" s="278"/>
    </row>
    <row r="766" spans="4:8" ht="12.75" customHeight="1" x14ac:dyDescent="0.25">
      <c r="D766" s="281"/>
      <c r="E766" s="278"/>
      <c r="F766" s="278"/>
      <c r="G766" s="278"/>
      <c r="H766" s="278"/>
    </row>
    <row r="767" spans="4:8" ht="12.75" customHeight="1" x14ac:dyDescent="0.25">
      <c r="D767" s="281"/>
      <c r="E767" s="278"/>
      <c r="F767" s="278"/>
      <c r="G767" s="278"/>
      <c r="H767" s="278"/>
    </row>
    <row r="768" spans="4:8" ht="12.75" customHeight="1" x14ac:dyDescent="0.25">
      <c r="D768" s="281"/>
      <c r="E768" s="278"/>
      <c r="F768" s="278"/>
      <c r="G768" s="278"/>
      <c r="H768" s="278"/>
    </row>
    <row r="769" spans="4:30" ht="12.75" customHeight="1" x14ac:dyDescent="0.25">
      <c r="D769" s="281"/>
      <c r="E769" s="278"/>
      <c r="F769" s="278"/>
      <c r="G769" s="278"/>
      <c r="H769" s="278"/>
    </row>
    <row r="770" spans="4:30" ht="12.75" customHeight="1" x14ac:dyDescent="0.25">
      <c r="D770" s="281"/>
      <c r="E770" s="278"/>
      <c r="F770" s="278"/>
      <c r="G770" s="278"/>
      <c r="H770" s="278"/>
    </row>
    <row r="771" spans="4:30" ht="12.75" customHeight="1" x14ac:dyDescent="0.25">
      <c r="D771" s="281"/>
      <c r="E771" s="278"/>
      <c r="F771" s="278"/>
      <c r="G771" s="278"/>
      <c r="H771" s="278"/>
    </row>
    <row r="772" spans="4:30" ht="12.75" customHeight="1" x14ac:dyDescent="0.25">
      <c r="D772" s="281"/>
      <c r="E772" s="278"/>
      <c r="F772" s="278"/>
      <c r="G772" s="278"/>
      <c r="H772" s="278"/>
    </row>
    <row r="773" spans="4:30" ht="12.75" customHeight="1" x14ac:dyDescent="0.25">
      <c r="D773" s="281"/>
      <c r="E773" s="278"/>
      <c r="F773" s="278"/>
      <c r="G773" s="278"/>
      <c r="H773" s="278"/>
    </row>
    <row r="774" spans="4:30" ht="12.75" customHeight="1" x14ac:dyDescent="0.25">
      <c r="D774" s="281"/>
      <c r="E774" s="278"/>
      <c r="F774" s="278"/>
      <c r="G774" s="278"/>
      <c r="H774" s="278"/>
    </row>
    <row r="775" spans="4:30" ht="12.75" customHeight="1" x14ac:dyDescent="0.25">
      <c r="D775" s="281"/>
      <c r="E775" s="278"/>
      <c r="F775" s="278"/>
      <c r="G775" s="278"/>
      <c r="H775" s="278"/>
    </row>
    <row r="776" spans="4:30" ht="12.75" customHeight="1" x14ac:dyDescent="0.25">
      <c r="D776" s="281"/>
      <c r="E776" s="278"/>
      <c r="F776" s="278"/>
      <c r="G776" s="278"/>
      <c r="H776" s="278"/>
    </row>
    <row r="777" spans="4:30" ht="12.75" customHeight="1" x14ac:dyDescent="0.25">
      <c r="D777" s="281"/>
      <c r="E777" s="278"/>
      <c r="F777" s="278"/>
      <c r="G777" s="278"/>
      <c r="H777" s="278"/>
    </row>
    <row r="778" spans="4:30" ht="12.75" customHeight="1" x14ac:dyDescent="0.25">
      <c r="D778" s="281"/>
      <c r="E778" s="278"/>
      <c r="F778" s="278"/>
      <c r="G778" s="278"/>
      <c r="H778" s="278"/>
    </row>
    <row r="779" spans="4:30" ht="12.75" customHeight="1" x14ac:dyDescent="0.25">
      <c r="D779" s="281"/>
      <c r="E779" s="278"/>
      <c r="F779" s="278"/>
      <c r="G779" s="278"/>
      <c r="H779" s="278"/>
      <c r="AD779" s="122">
        <v>1</v>
      </c>
    </row>
    <row r="780" spans="4:30" ht="12.75" customHeight="1" x14ac:dyDescent="0.25">
      <c r="D780" s="281"/>
      <c r="E780" s="278"/>
      <c r="F780" s="278"/>
      <c r="G780" s="278"/>
      <c r="H780" s="278"/>
    </row>
    <row r="781" spans="4:30" ht="12.75" customHeight="1" x14ac:dyDescent="0.25">
      <c r="D781" s="281"/>
      <c r="E781" s="278"/>
      <c r="F781" s="278"/>
      <c r="G781" s="278"/>
      <c r="H781" s="278"/>
    </row>
    <row r="782" spans="4:30" ht="12.75" customHeight="1" x14ac:dyDescent="0.25">
      <c r="D782" s="281"/>
      <c r="E782" s="278"/>
      <c r="F782" s="278"/>
      <c r="G782" s="278"/>
      <c r="H782" s="278"/>
    </row>
    <row r="783" spans="4:30" ht="12.75" customHeight="1" x14ac:dyDescent="0.25">
      <c r="D783" s="281"/>
      <c r="E783" s="278"/>
      <c r="F783" s="278"/>
      <c r="G783" s="278"/>
      <c r="H783" s="278"/>
    </row>
    <row r="784" spans="4:30" ht="12.75" customHeight="1" x14ac:dyDescent="0.25">
      <c r="D784" s="281"/>
      <c r="E784" s="278"/>
      <c r="F784" s="278"/>
      <c r="G784" s="278"/>
      <c r="H784" s="278"/>
    </row>
    <row r="785" spans="4:8" ht="12.75" customHeight="1" x14ac:dyDescent="0.25">
      <c r="D785" s="281"/>
      <c r="E785" s="278"/>
      <c r="F785" s="278"/>
      <c r="G785" s="278"/>
      <c r="H785" s="278"/>
    </row>
    <row r="786" spans="4:8" ht="12.75" customHeight="1" x14ac:dyDescent="0.25">
      <c r="D786" s="281"/>
      <c r="E786" s="278"/>
      <c r="F786" s="278"/>
      <c r="G786" s="278"/>
      <c r="H786" s="278"/>
    </row>
    <row r="787" spans="4:8" ht="12.75" customHeight="1" x14ac:dyDescent="0.25">
      <c r="D787" s="281"/>
      <c r="E787" s="278"/>
      <c r="F787" s="278"/>
      <c r="G787" s="278"/>
      <c r="H787" s="278"/>
    </row>
    <row r="788" spans="4:8" ht="12.75" customHeight="1" x14ac:dyDescent="0.25">
      <c r="D788" s="281"/>
      <c r="E788" s="278"/>
      <c r="F788" s="278"/>
      <c r="G788" s="278"/>
      <c r="H788" s="278"/>
    </row>
    <row r="789" spans="4:8" ht="12.75" customHeight="1" x14ac:dyDescent="0.25">
      <c r="D789" s="281"/>
      <c r="E789" s="278"/>
      <c r="F789" s="278"/>
      <c r="G789" s="278"/>
      <c r="H789" s="278"/>
    </row>
    <row r="790" spans="4:8" ht="12.75" customHeight="1" x14ac:dyDescent="0.25">
      <c r="D790" s="281"/>
      <c r="E790" s="278"/>
      <c r="F790" s="278"/>
      <c r="G790" s="278"/>
      <c r="H790" s="278"/>
    </row>
    <row r="791" spans="4:8" ht="12.75" customHeight="1" x14ac:dyDescent="0.25">
      <c r="D791" s="281"/>
      <c r="F791" s="278"/>
      <c r="G791" s="278"/>
      <c r="H791" s="278"/>
    </row>
    <row r="792" spans="4:8" ht="12.75" customHeight="1" x14ac:dyDescent="0.25">
      <c r="D792" s="281"/>
      <c r="F792" s="278"/>
      <c r="G792" s="278"/>
      <c r="H792" s="278"/>
    </row>
    <row r="793" spans="4:8" ht="12.75" customHeight="1" x14ac:dyDescent="0.25"/>
    <row r="794" spans="4:8" ht="12.75" customHeight="1" x14ac:dyDescent="0.25"/>
    <row r="795" spans="4:8" ht="12.75" customHeight="1" x14ac:dyDescent="0.25"/>
    <row r="796" spans="4:8" ht="12.75" customHeight="1" x14ac:dyDescent="0.25"/>
    <row r="797" spans="4:8" ht="12.75" customHeight="1" x14ac:dyDescent="0.25"/>
    <row r="798" spans="4:8" ht="12.75" customHeight="1" x14ac:dyDescent="0.25"/>
    <row r="799" spans="4:8" ht="12.75" customHeight="1" x14ac:dyDescent="0.25"/>
    <row r="800" spans="4:8" ht="12.75" customHeight="1" x14ac:dyDescent="0.25"/>
    <row r="801" spans="31:31" ht="12.75" customHeight="1" x14ac:dyDescent="0.25"/>
    <row r="802" spans="31:31" ht="12" customHeight="1" x14ac:dyDescent="0.25"/>
    <row r="803" spans="31:31" ht="12.75" customHeight="1" x14ac:dyDescent="0.25"/>
    <row r="804" spans="31:31" ht="12.75" customHeight="1" x14ac:dyDescent="0.25"/>
    <row r="805" spans="31:31" ht="12.75" customHeight="1" x14ac:dyDescent="0.25"/>
    <row r="806" spans="31:31" ht="12.75" customHeight="1" x14ac:dyDescent="0.25"/>
    <row r="807" spans="31:31" ht="12.75" customHeight="1" x14ac:dyDescent="0.25">
      <c r="AE807" s="455"/>
    </row>
    <row r="808" spans="31:31" ht="12.75" customHeight="1" x14ac:dyDescent="0.25"/>
    <row r="809" spans="31:31" ht="12.75" customHeight="1" x14ac:dyDescent="0.25"/>
    <row r="810" spans="31:31" ht="12.75" customHeight="1" x14ac:dyDescent="0.25"/>
    <row r="811" spans="31:31" ht="12.75" customHeight="1" x14ac:dyDescent="0.25"/>
    <row r="812" spans="31:31" ht="12.75" customHeight="1" x14ac:dyDescent="0.25"/>
    <row r="813" spans="31:31" ht="12.75" customHeight="1" x14ac:dyDescent="0.25"/>
    <row r="814" spans="31:31" ht="12.75" customHeight="1" x14ac:dyDescent="0.25"/>
    <row r="815" spans="31:31" ht="12.75" customHeight="1" x14ac:dyDescent="0.25"/>
    <row r="816" spans="31:31" ht="12.75" customHeight="1" x14ac:dyDescent="0.25"/>
    <row r="817" ht="12.75" customHeight="1" x14ac:dyDescent="0.25"/>
    <row r="818" ht="12.75" customHeight="1" x14ac:dyDescent="0.25"/>
    <row r="819" ht="12.75" customHeight="1" x14ac:dyDescent="0.25"/>
    <row r="820" ht="12.75" customHeight="1" x14ac:dyDescent="0.25"/>
    <row r="821" ht="12.75" customHeight="1" x14ac:dyDescent="0.25"/>
    <row r="822" ht="12.75" customHeight="1" x14ac:dyDescent="0.25"/>
    <row r="823" ht="12.75" customHeight="1" x14ac:dyDescent="0.25"/>
    <row r="824" ht="12.75" customHeight="1" x14ac:dyDescent="0.25"/>
    <row r="825" ht="12.75" customHeight="1" x14ac:dyDescent="0.25"/>
    <row r="826" ht="12.75" customHeight="1" x14ac:dyDescent="0.25"/>
    <row r="827" ht="12.75" customHeight="1" x14ac:dyDescent="0.25"/>
    <row r="828" ht="12.75" customHeight="1" x14ac:dyDescent="0.25"/>
    <row r="829" ht="12.75" customHeight="1" x14ac:dyDescent="0.25"/>
    <row r="830" ht="12.75" customHeight="1" x14ac:dyDescent="0.25"/>
    <row r="831" ht="12.75" customHeight="1" x14ac:dyDescent="0.25"/>
    <row r="832" ht="12.75" customHeight="1" x14ac:dyDescent="0.25"/>
    <row r="833" ht="12.75" customHeight="1" x14ac:dyDescent="0.25"/>
    <row r="834" ht="12.75" customHeight="1" x14ac:dyDescent="0.25"/>
    <row r="835" ht="12.75" customHeight="1" x14ac:dyDescent="0.25"/>
    <row r="836" ht="13.5" customHeight="1" x14ac:dyDescent="0.25"/>
    <row r="837" ht="13.5" customHeight="1" x14ac:dyDescent="0.25"/>
    <row r="838" ht="13.5" customHeight="1" x14ac:dyDescent="0.25"/>
    <row r="839" ht="13.5" customHeight="1" x14ac:dyDescent="0.25"/>
    <row r="840" ht="13.5" customHeight="1" x14ac:dyDescent="0.25"/>
    <row r="841" ht="13.5" customHeight="1" x14ac:dyDescent="0.25"/>
    <row r="842" ht="13.5" customHeight="1" x14ac:dyDescent="0.25"/>
    <row r="843" ht="13.5" customHeight="1" x14ac:dyDescent="0.25"/>
    <row r="844" ht="13.5" customHeight="1" x14ac:dyDescent="0.25"/>
    <row r="845" ht="13.5" customHeight="1" x14ac:dyDescent="0.25"/>
    <row r="846" ht="13.5" customHeight="1" x14ac:dyDescent="0.25"/>
    <row r="847" ht="13.5" customHeight="1" x14ac:dyDescent="0.25"/>
    <row r="848" ht="13.5" customHeight="1" x14ac:dyDescent="0.25"/>
    <row r="849" ht="13.5" customHeight="1" x14ac:dyDescent="0.25"/>
    <row r="850" ht="13.5" customHeight="1" x14ac:dyDescent="0.25"/>
    <row r="851" ht="13.5" customHeight="1" x14ac:dyDescent="0.25"/>
    <row r="852" ht="13.5" customHeight="1" x14ac:dyDescent="0.25"/>
    <row r="853" ht="13.5" customHeight="1" x14ac:dyDescent="0.25"/>
    <row r="854" ht="13.5" customHeight="1" x14ac:dyDescent="0.25"/>
    <row r="855" ht="13.5" customHeight="1" x14ac:dyDescent="0.25"/>
    <row r="856" ht="13.5" customHeight="1" x14ac:dyDescent="0.25"/>
    <row r="857" ht="13.5" customHeight="1" x14ac:dyDescent="0.25"/>
    <row r="858" ht="13.5" customHeight="1" x14ac:dyDescent="0.25"/>
    <row r="859" ht="13.5" customHeight="1" x14ac:dyDescent="0.25"/>
    <row r="860" ht="13.5" customHeight="1" x14ac:dyDescent="0.25"/>
    <row r="861" ht="13.5" customHeight="1" x14ac:dyDescent="0.25"/>
    <row r="862" ht="13.5" customHeight="1" x14ac:dyDescent="0.25"/>
    <row r="863" ht="13.5" customHeight="1" x14ac:dyDescent="0.25"/>
    <row r="864" ht="13.5" customHeight="1" x14ac:dyDescent="0.25"/>
    <row r="865" ht="13.5" customHeight="1" x14ac:dyDescent="0.25"/>
    <row r="866" ht="13.5" customHeight="1" x14ac:dyDescent="0.25"/>
    <row r="867" ht="13.5" customHeight="1" x14ac:dyDescent="0.25"/>
  </sheetData>
  <sheetProtection password="CC2E" sheet="1" formatCells="0" formatColumns="0" formatRows="0"/>
  <mergeCells count="303">
    <mergeCell ref="K63:L63"/>
    <mergeCell ref="K64:L64"/>
    <mergeCell ref="K65:L65"/>
    <mergeCell ref="K66:L66"/>
    <mergeCell ref="K67:L67"/>
    <mergeCell ref="K68:L68"/>
    <mergeCell ref="K69:L69"/>
    <mergeCell ref="N59:O59"/>
    <mergeCell ref="N60:O60"/>
    <mergeCell ref="N61:O61"/>
    <mergeCell ref="N62:O62"/>
    <mergeCell ref="N63:O63"/>
    <mergeCell ref="N64:O64"/>
    <mergeCell ref="N65:O65"/>
    <mergeCell ref="N66:O66"/>
    <mergeCell ref="N67:O67"/>
    <mergeCell ref="N68:O68"/>
    <mergeCell ref="N69:O69"/>
    <mergeCell ref="D70:F70"/>
    <mergeCell ref="K70:L70"/>
    <mergeCell ref="N70:O70"/>
    <mergeCell ref="P70:Q70"/>
    <mergeCell ref="T70:U70"/>
    <mergeCell ref="K71:L71"/>
    <mergeCell ref="N71:O71"/>
    <mergeCell ref="T71:U71"/>
    <mergeCell ref="L267:M267"/>
    <mergeCell ref="C80:D80"/>
    <mergeCell ref="F80:H80"/>
    <mergeCell ref="L80:M80"/>
    <mergeCell ref="O80:Q80"/>
    <mergeCell ref="K266:M266"/>
    <mergeCell ref="P266:Q266"/>
    <mergeCell ref="K74:L74"/>
    <mergeCell ref="N74:O74"/>
    <mergeCell ref="B79:D79"/>
    <mergeCell ref="F79:I79"/>
    <mergeCell ref="K79:M79"/>
    <mergeCell ref="O79:Q79"/>
    <mergeCell ref="P57:Q57"/>
    <mergeCell ref="T57:U57"/>
    <mergeCell ref="P58:Q58"/>
    <mergeCell ref="T58:U58"/>
    <mergeCell ref="K72:L72"/>
    <mergeCell ref="N72:O72"/>
    <mergeCell ref="T72:U72"/>
    <mergeCell ref="K73:L73"/>
    <mergeCell ref="N73:O73"/>
    <mergeCell ref="P73:Q73"/>
    <mergeCell ref="T59:U59"/>
    <mergeCell ref="T60:U60"/>
    <mergeCell ref="T61:U61"/>
    <mergeCell ref="T62:U62"/>
    <mergeCell ref="T63:U63"/>
    <mergeCell ref="T64:U64"/>
    <mergeCell ref="T65:U65"/>
    <mergeCell ref="T66:U66"/>
    <mergeCell ref="T67:U67"/>
    <mergeCell ref="T68:U68"/>
    <mergeCell ref="K59:L59"/>
    <mergeCell ref="K60:L60"/>
    <mergeCell ref="K61:L61"/>
    <mergeCell ref="K62:L62"/>
    <mergeCell ref="B56:C57"/>
    <mergeCell ref="D56:F57"/>
    <mergeCell ref="G56:I57"/>
    <mergeCell ref="K56:L56"/>
    <mergeCell ref="N56:O56"/>
    <mergeCell ref="K58:L58"/>
    <mergeCell ref="N58:O58"/>
    <mergeCell ref="B52:C53"/>
    <mergeCell ref="D52:F53"/>
    <mergeCell ref="G52:I53"/>
    <mergeCell ref="K55:L55"/>
    <mergeCell ref="N55:O55"/>
    <mergeCell ref="K57:L57"/>
    <mergeCell ref="N57:O57"/>
    <mergeCell ref="K53:L53"/>
    <mergeCell ref="N53:O53"/>
    <mergeCell ref="K54:L54"/>
    <mergeCell ref="N54:O54"/>
    <mergeCell ref="P56:Q56"/>
    <mergeCell ref="P54:Q54"/>
    <mergeCell ref="K52:L52"/>
    <mergeCell ref="N52:O52"/>
    <mergeCell ref="P52:Q52"/>
    <mergeCell ref="P53:Q53"/>
    <mergeCell ref="T54:U54"/>
    <mergeCell ref="P55:Q55"/>
    <mergeCell ref="T55:U55"/>
    <mergeCell ref="T56:U56"/>
    <mergeCell ref="T52:U52"/>
    <mergeCell ref="B50:C51"/>
    <mergeCell ref="D50:F51"/>
    <mergeCell ref="G50:I51"/>
    <mergeCell ref="B48:C49"/>
    <mergeCell ref="D48:F49"/>
    <mergeCell ref="G48:I49"/>
    <mergeCell ref="B54:C55"/>
    <mergeCell ref="D54:F55"/>
    <mergeCell ref="G54:I55"/>
    <mergeCell ref="K48:L48"/>
    <mergeCell ref="N48:O48"/>
    <mergeCell ref="P48:Q48"/>
    <mergeCell ref="T48:U48"/>
    <mergeCell ref="K49:L49"/>
    <mergeCell ref="N49:O49"/>
    <mergeCell ref="P49:Q49"/>
    <mergeCell ref="T49:U49"/>
    <mergeCell ref="T53:U53"/>
    <mergeCell ref="K50:L50"/>
    <mergeCell ref="N50:O50"/>
    <mergeCell ref="P50:Q50"/>
    <mergeCell ref="T50:U50"/>
    <mergeCell ref="K51:L51"/>
    <mergeCell ref="N51:O51"/>
    <mergeCell ref="P51:Q51"/>
    <mergeCell ref="T51:U51"/>
    <mergeCell ref="B45:C45"/>
    <mergeCell ref="D45:F45"/>
    <mergeCell ref="G45:I45"/>
    <mergeCell ref="K45:L45"/>
    <mergeCell ref="N45:O45"/>
    <mergeCell ref="P45:Q45"/>
    <mergeCell ref="T45:U45"/>
    <mergeCell ref="B46:C47"/>
    <mergeCell ref="D46:F47"/>
    <mergeCell ref="G46:I47"/>
    <mergeCell ref="K47:L47"/>
    <mergeCell ref="N47:O47"/>
    <mergeCell ref="P47:Q47"/>
    <mergeCell ref="T47:U47"/>
    <mergeCell ref="K42:L42"/>
    <mergeCell ref="N42:O42"/>
    <mergeCell ref="P42:Q42"/>
    <mergeCell ref="T42:U42"/>
    <mergeCell ref="K43:L43"/>
    <mergeCell ref="N43:O43"/>
    <mergeCell ref="P43:Q43"/>
    <mergeCell ref="T43:U43"/>
    <mergeCell ref="K46:L46"/>
    <mergeCell ref="N46:O46"/>
    <mergeCell ref="P46:Q46"/>
    <mergeCell ref="T46:U46"/>
    <mergeCell ref="K44:L44"/>
    <mergeCell ref="N44:O44"/>
    <mergeCell ref="P44:Q44"/>
    <mergeCell ref="T44:U44"/>
    <mergeCell ref="K40:L40"/>
    <mergeCell ref="N40:O40"/>
    <mergeCell ref="P40:Q40"/>
    <mergeCell ref="T40:U40"/>
    <mergeCell ref="K41:L41"/>
    <mergeCell ref="N41:O41"/>
    <mergeCell ref="P41:Q41"/>
    <mergeCell ref="T41:U41"/>
    <mergeCell ref="F37:I37"/>
    <mergeCell ref="F38:G38"/>
    <mergeCell ref="K38:L38"/>
    <mergeCell ref="N38:O38"/>
    <mergeCell ref="P38:Q38"/>
    <mergeCell ref="T38:U38"/>
    <mergeCell ref="K39:L39"/>
    <mergeCell ref="N39:O39"/>
    <mergeCell ref="P39:Q39"/>
    <mergeCell ref="T39:U39"/>
    <mergeCell ref="F36:I36"/>
    <mergeCell ref="K36:L36"/>
    <mergeCell ref="N36:O36"/>
    <mergeCell ref="P36:Q36"/>
    <mergeCell ref="T36:U36"/>
    <mergeCell ref="K37:L37"/>
    <mergeCell ref="N37:O37"/>
    <mergeCell ref="P37:Q37"/>
    <mergeCell ref="T37:U37"/>
    <mergeCell ref="F34:I34"/>
    <mergeCell ref="K34:L34"/>
    <mergeCell ref="N34:O34"/>
    <mergeCell ref="P34:Q34"/>
    <mergeCell ref="T34:U34"/>
    <mergeCell ref="F35:I35"/>
    <mergeCell ref="K35:L35"/>
    <mergeCell ref="N35:O35"/>
    <mergeCell ref="P35:Q35"/>
    <mergeCell ref="T35:U35"/>
    <mergeCell ref="K32:L32"/>
    <mergeCell ref="N32:O32"/>
    <mergeCell ref="P32:Q32"/>
    <mergeCell ref="T32:U32"/>
    <mergeCell ref="F33:I33"/>
    <mergeCell ref="K33:L33"/>
    <mergeCell ref="N33:O33"/>
    <mergeCell ref="P33:Q33"/>
    <mergeCell ref="T33:U33"/>
    <mergeCell ref="K30:L30"/>
    <mergeCell ref="N30:O30"/>
    <mergeCell ref="P30:Q30"/>
    <mergeCell ref="T30:U30"/>
    <mergeCell ref="K31:L31"/>
    <mergeCell ref="N31:O31"/>
    <mergeCell ref="P31:Q31"/>
    <mergeCell ref="T31:U31"/>
    <mergeCell ref="K28:L28"/>
    <mergeCell ref="N28:O28"/>
    <mergeCell ref="P28:Q28"/>
    <mergeCell ref="T28:U28"/>
    <mergeCell ref="F29:I29"/>
    <mergeCell ref="K29:L29"/>
    <mergeCell ref="N29:O29"/>
    <mergeCell ref="P29:Q29"/>
    <mergeCell ref="T29:U29"/>
    <mergeCell ref="K26:L26"/>
    <mergeCell ref="N26:O26"/>
    <mergeCell ref="P26:Q26"/>
    <mergeCell ref="T26:U26"/>
    <mergeCell ref="B27:C27"/>
    <mergeCell ref="F27:I27"/>
    <mergeCell ref="K27:L27"/>
    <mergeCell ref="N27:O27"/>
    <mergeCell ref="P27:Q27"/>
    <mergeCell ref="T27:U27"/>
    <mergeCell ref="K24:L24"/>
    <mergeCell ref="N24:O24"/>
    <mergeCell ref="P24:Q24"/>
    <mergeCell ref="T24:U24"/>
    <mergeCell ref="F25:I25"/>
    <mergeCell ref="K25:L25"/>
    <mergeCell ref="N25:O25"/>
    <mergeCell ref="P25:Q25"/>
    <mergeCell ref="T25:U25"/>
    <mergeCell ref="K23:L23"/>
    <mergeCell ref="N23:O23"/>
    <mergeCell ref="P23:Q23"/>
    <mergeCell ref="T23:U23"/>
    <mergeCell ref="K21:L21"/>
    <mergeCell ref="N21:O21"/>
    <mergeCell ref="P21:Q21"/>
    <mergeCell ref="T21:U21"/>
    <mergeCell ref="F22:I22"/>
    <mergeCell ref="K22:L22"/>
    <mergeCell ref="N22:O22"/>
    <mergeCell ref="P22:Q22"/>
    <mergeCell ref="T22:U22"/>
    <mergeCell ref="K19:L19"/>
    <mergeCell ref="N19:O19"/>
    <mergeCell ref="P19:Q19"/>
    <mergeCell ref="T19:U19"/>
    <mergeCell ref="F20:I20"/>
    <mergeCell ref="K20:L20"/>
    <mergeCell ref="N20:O20"/>
    <mergeCell ref="P20:Q20"/>
    <mergeCell ref="T20:U20"/>
    <mergeCell ref="F18:I18"/>
    <mergeCell ref="K18:L18"/>
    <mergeCell ref="N18:O18"/>
    <mergeCell ref="P18:Q18"/>
    <mergeCell ref="T18:U18"/>
    <mergeCell ref="Y18:Z18"/>
    <mergeCell ref="T16:U16"/>
    <mergeCell ref="Y16:Z16"/>
    <mergeCell ref="F17:I17"/>
    <mergeCell ref="K17:L17"/>
    <mergeCell ref="N17:O17"/>
    <mergeCell ref="P17:Q17"/>
    <mergeCell ref="T17:U17"/>
    <mergeCell ref="Y17:Z17"/>
    <mergeCell ref="K16:L16"/>
    <mergeCell ref="N16:O16"/>
    <mergeCell ref="P16:Q16"/>
    <mergeCell ref="F14:I14"/>
    <mergeCell ref="F15:I15"/>
    <mergeCell ref="K15:L15"/>
    <mergeCell ref="N15:O15"/>
    <mergeCell ref="P15:Q15"/>
    <mergeCell ref="F13:I13"/>
    <mergeCell ref="K13:L14"/>
    <mergeCell ref="M13:M14"/>
    <mergeCell ref="N13:O14"/>
    <mergeCell ref="P13:Q14"/>
    <mergeCell ref="G2:I2"/>
    <mergeCell ref="B4:I4"/>
    <mergeCell ref="K4:Q4"/>
    <mergeCell ref="E6:I6"/>
    <mergeCell ref="K6:L6"/>
    <mergeCell ref="N6:Q6"/>
    <mergeCell ref="F24:I24"/>
    <mergeCell ref="E9:I9"/>
    <mergeCell ref="K9:L9"/>
    <mergeCell ref="N9:Q9"/>
    <mergeCell ref="E10:I10"/>
    <mergeCell ref="K10:L10"/>
    <mergeCell ref="N10:Q10"/>
    <mergeCell ref="E7:I7"/>
    <mergeCell ref="K7:L7"/>
    <mergeCell ref="N7:Q7"/>
    <mergeCell ref="E8:I8"/>
    <mergeCell ref="K8:L8"/>
    <mergeCell ref="N8:Q8"/>
    <mergeCell ref="E11:F11"/>
    <mergeCell ref="H11:I11"/>
    <mergeCell ref="K11:L11"/>
    <mergeCell ref="N11:O11"/>
    <mergeCell ref="P11:Q11"/>
  </mergeCells>
  <pageMargins left="0.70866141732283472" right="0.70866141732283472" top="0.82677165354330717" bottom="0.74803149606299213" header="0.31496062992125984" footer="0.31496062992125984"/>
  <pageSetup paperSize="5" scale="69" orientation="portrait" r:id="rId1"/>
  <headerFooter>
    <oddHeader xml:space="preserve">&amp;R&amp;"Century Gothic,Bold"&amp;18ANNEX A: 
SAMPLE PACKAGE COMPUTATION
</oddHead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6"/>
  <dimension ref="A1:U123"/>
  <sheetViews>
    <sheetView showGridLines="0" showZeros="0" view="pageLayout" topLeftCell="A88" zoomScaleNormal="100" zoomScaleSheetLayoutView="85" workbookViewId="0">
      <selection activeCell="O40" sqref="O40:R40"/>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27" t="str">
        <f>FORM!I14</f>
        <v>Building 1</v>
      </c>
      <c r="E21" s="1328"/>
      <c r="F21" s="1329"/>
      <c r="G21" s="50" t="s">
        <v>136</v>
      </c>
      <c r="H21" s="51"/>
      <c r="I21" s="52"/>
      <c r="J21" s="1330" t="str">
        <f>D21</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c r="E24" s="1336"/>
      <c r="F24" s="1337"/>
      <c r="G24" s="50" t="s">
        <v>142</v>
      </c>
      <c r="H24" s="51"/>
      <c r="I24" s="52"/>
      <c r="J24" s="1338">
        <f>'STANDARD COMP.'!E11</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62"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317">
        <f>'STANDARD COMP.'!F13</f>
        <v>832787.56226250005</v>
      </c>
      <c r="J27" s="1318"/>
      <c r="K27" s="1318"/>
      <c r="L27" s="1318"/>
      <c r="M27" s="1318"/>
      <c r="N27" s="1318"/>
      <c r="O27" s="1318"/>
      <c r="P27" s="1318"/>
      <c r="Q27" s="1318"/>
      <c r="R27" s="1318"/>
      <c r="S27" s="1318"/>
      <c r="T27" s="1318"/>
      <c r="U27" s="1319"/>
    </row>
    <row r="28" spans="1:21" ht="14" x14ac:dyDescent="0.3">
      <c r="A28" s="50" t="s">
        <v>147</v>
      </c>
      <c r="B28" s="51"/>
      <c r="C28" s="53"/>
      <c r="D28" s="53"/>
      <c r="E28" s="53"/>
      <c r="F28" s="53"/>
      <c r="G28" s="53"/>
      <c r="H28" s="54"/>
      <c r="I28" s="1317">
        <f>'STANDARD COMP.'!F14</f>
        <v>0</v>
      </c>
      <c r="J28" s="1318"/>
      <c r="K28" s="1318"/>
      <c r="L28" s="1318"/>
      <c r="M28" s="1318"/>
      <c r="N28" s="1318"/>
      <c r="O28" s="1318"/>
      <c r="P28" s="1318"/>
      <c r="Q28" s="1318"/>
      <c r="R28" s="1318"/>
      <c r="S28" s="1318"/>
      <c r="T28" s="1318"/>
      <c r="U28" s="1319"/>
    </row>
    <row r="29" spans="1:21" ht="14" x14ac:dyDescent="0.3">
      <c r="A29" s="60" t="s">
        <v>81</v>
      </c>
      <c r="B29" s="61"/>
      <c r="C29" s="62"/>
      <c r="D29" s="62"/>
      <c r="E29" s="62"/>
      <c r="F29" s="62"/>
      <c r="G29" s="62"/>
      <c r="H29" s="59"/>
      <c r="I29" s="1317">
        <f>'STANDARD COMP.'!F15</f>
        <v>832787.56226250005</v>
      </c>
      <c r="J29" s="1318"/>
      <c r="K29" s="1318"/>
      <c r="L29" s="1318"/>
      <c r="M29" s="1318"/>
      <c r="N29" s="1318"/>
      <c r="O29" s="1318"/>
      <c r="P29" s="1318"/>
      <c r="Q29" s="1318"/>
      <c r="R29" s="1318"/>
      <c r="S29" s="1318"/>
      <c r="T29" s="1318"/>
      <c r="U29" s="1319"/>
    </row>
    <row r="30" spans="1:21" ht="14" x14ac:dyDescent="0.3">
      <c r="A30" s="50" t="s">
        <v>148</v>
      </c>
      <c r="B30" s="51"/>
      <c r="C30" s="53"/>
      <c r="D30" s="53"/>
      <c r="E30" s="53"/>
      <c r="F30" s="53"/>
      <c r="G30" s="53"/>
      <c r="H30" s="54"/>
      <c r="I30" s="1317">
        <f>'STANDARD COMP.'!F18</f>
        <v>83278.756226250014</v>
      </c>
      <c r="J30" s="1318"/>
      <c r="K30" s="1318"/>
      <c r="L30" s="1318"/>
      <c r="M30" s="1318"/>
      <c r="N30" s="1318"/>
      <c r="O30" s="1318"/>
      <c r="P30" s="1318"/>
      <c r="Q30" s="1318"/>
      <c r="R30" s="1318"/>
      <c r="S30" s="1318"/>
      <c r="T30" s="1318"/>
      <c r="U30" s="1319"/>
    </row>
    <row r="31" spans="1:21" ht="14" x14ac:dyDescent="0.3">
      <c r="A31" s="50" t="s">
        <v>149</v>
      </c>
      <c r="B31" s="51"/>
      <c r="C31" s="53"/>
      <c r="D31" s="53"/>
      <c r="E31" s="53"/>
      <c r="F31" s="53"/>
      <c r="G31" s="53"/>
      <c r="H31" s="54"/>
      <c r="I31" s="1317">
        <f>'STANDARD COMP.'!F17</f>
        <v>99934.507471500008</v>
      </c>
      <c r="J31" s="1318"/>
      <c r="K31" s="1318"/>
      <c r="L31" s="1318"/>
      <c r="M31" s="1318"/>
      <c r="N31" s="1318"/>
      <c r="O31" s="1318"/>
      <c r="P31" s="1318"/>
      <c r="Q31" s="1318"/>
      <c r="R31" s="1318"/>
      <c r="S31" s="1318"/>
      <c r="T31" s="1318"/>
      <c r="U31" s="1319"/>
    </row>
    <row r="32" spans="1:21" ht="14" x14ac:dyDescent="0.3">
      <c r="A32" s="50" t="s">
        <v>150</v>
      </c>
      <c r="B32" s="51"/>
      <c r="C32" s="53"/>
      <c r="D32" s="53"/>
      <c r="E32" s="53"/>
      <c r="F32" s="53"/>
      <c r="G32" s="53"/>
      <c r="H32" s="54"/>
      <c r="I32" s="1317">
        <f>'STANDARD COMP.'!F20</f>
        <v>1016000.82596025</v>
      </c>
      <c r="J32" s="1318"/>
      <c r="K32" s="1318"/>
      <c r="L32" s="1318"/>
      <c r="M32" s="1318"/>
      <c r="N32" s="1318"/>
      <c r="O32" s="1318"/>
      <c r="P32" s="1318"/>
      <c r="Q32" s="1318"/>
      <c r="R32" s="1318"/>
      <c r="S32" s="1318"/>
      <c r="T32" s="1318"/>
      <c r="U32" s="1319"/>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selectLockedCells="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963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9634"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6963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963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963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963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963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964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9641"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69642"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6964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964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964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964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964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964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964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965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965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dimension ref="A1:R67"/>
  <sheetViews>
    <sheetView showGridLines="0" showZeros="0" view="pageLayout" zoomScale="90" zoomScaleNormal="90" zoomScaleSheetLayoutView="100" zoomScalePageLayoutView="90" workbookViewId="0">
      <selection activeCell="F18" sqref="F18:H18"/>
    </sheetView>
  </sheetViews>
  <sheetFormatPr defaultColWidth="9.1796875" defaultRowHeight="12.5" x14ac:dyDescent="0.25"/>
  <cols>
    <col min="1" max="1" width="0.81640625" style="122" customWidth="1"/>
    <col min="2" max="2" width="12" style="122" customWidth="1"/>
    <col min="3" max="3" width="18.453125" style="122" customWidth="1"/>
    <col min="4" max="4" width="18.1796875" style="176" customWidth="1"/>
    <col min="5" max="5" width="16.81640625" style="122" customWidth="1"/>
    <col min="6" max="6" width="15.1796875" style="122" customWidth="1"/>
    <col min="7" max="7" width="8" style="122" customWidth="1"/>
    <col min="8" max="8" width="18" style="122" customWidth="1"/>
    <col min="9" max="9" width="0.453125" style="122" customWidth="1"/>
    <col min="10" max="10" width="9.1796875" style="122"/>
    <col min="11" max="11" width="19.1796875" style="122" customWidth="1"/>
    <col min="12" max="12" width="19.453125" style="456" customWidth="1"/>
    <col min="13" max="13" width="5.1796875" style="122" customWidth="1"/>
    <col min="14" max="14" width="14" style="122" customWidth="1"/>
    <col min="15" max="15" width="19.54296875" style="122" customWidth="1"/>
    <col min="16" max="16" width="19.81640625" style="122" customWidth="1"/>
    <col min="17" max="17" width="9.1796875" style="122"/>
    <col min="18" max="18" width="10.81640625" style="122" bestFit="1" customWidth="1"/>
    <col min="19" max="16384" width="9.1796875" style="122"/>
  </cols>
  <sheetData>
    <row r="1" spans="1:18" ht="2.25" customHeight="1" x14ac:dyDescent="0.25">
      <c r="R1" s="457">
        <f>EDATE(L15,'STANDARD COMP.'!E26)</f>
        <v>45931</v>
      </c>
    </row>
    <row r="2" spans="1:18" x14ac:dyDescent="0.25">
      <c r="B2" s="102" t="s">
        <v>2</v>
      </c>
      <c r="C2" s="499">
        <f>FORM!I20</f>
        <v>45901</v>
      </c>
      <c r="D2" s="238"/>
      <c r="F2" s="181" t="s">
        <v>87</v>
      </c>
      <c r="G2" s="1385" t="s">
        <v>88</v>
      </c>
      <c r="H2" s="1386"/>
      <c r="I2" s="138"/>
      <c r="J2" s="104" t="s">
        <v>2</v>
      </c>
      <c r="K2" s="500">
        <f>C2</f>
        <v>45901</v>
      </c>
      <c r="L2" s="138"/>
      <c r="M2" s="138"/>
      <c r="O2" s="181" t="s">
        <v>89</v>
      </c>
      <c r="P2" s="458" t="s">
        <v>90</v>
      </c>
    </row>
    <row r="3" spans="1:18" s="105" customFormat="1" x14ac:dyDescent="0.25">
      <c r="C3" s="106"/>
      <c r="D3" s="106"/>
      <c r="G3" s="107"/>
      <c r="H3" s="107"/>
      <c r="I3" s="107"/>
      <c r="J3" s="108"/>
      <c r="K3" s="109"/>
      <c r="L3" s="110"/>
      <c r="M3" s="108"/>
      <c r="N3" s="108"/>
      <c r="O3" s="1388"/>
      <c r="P3" s="1388"/>
    </row>
    <row r="4" spans="1:18" s="675" customFormat="1" ht="18" customHeight="1" x14ac:dyDescent="0.35">
      <c r="B4" s="1212" t="s">
        <v>185</v>
      </c>
      <c r="C4" s="1212"/>
      <c r="D4" s="1212"/>
      <c r="E4" s="1212"/>
      <c r="F4" s="1212"/>
      <c r="G4" s="1212"/>
      <c r="H4" s="1212"/>
      <c r="I4" s="676"/>
      <c r="J4" s="1214" t="s">
        <v>3</v>
      </c>
      <c r="K4" s="1214"/>
      <c r="L4" s="1214"/>
      <c r="M4" s="1214"/>
      <c r="N4" s="1214"/>
      <c r="O4" s="1214"/>
      <c r="P4" s="1214"/>
    </row>
    <row r="5" spans="1:18" s="105" customFormat="1" x14ac:dyDescent="0.25">
      <c r="B5" s="107" t="s">
        <v>1</v>
      </c>
      <c r="C5" s="107"/>
      <c r="D5" s="111"/>
      <c r="E5" s="107"/>
      <c r="F5" s="107"/>
      <c r="G5" s="107"/>
      <c r="H5" s="107"/>
      <c r="I5" s="107"/>
      <c r="J5" s="112"/>
      <c r="K5" s="113"/>
      <c r="L5" s="114"/>
      <c r="M5" s="113"/>
      <c r="N5" s="113"/>
      <c r="O5" s="113"/>
      <c r="P5" s="115"/>
    </row>
    <row r="6" spans="1:18" s="105" customFormat="1" x14ac:dyDescent="0.25">
      <c r="B6" s="391" t="s">
        <v>4</v>
      </c>
      <c r="C6" s="555"/>
      <c r="D6" s="194" t="s">
        <v>5</v>
      </c>
      <c r="E6" s="1205" t="str">
        <f>FORM!I26</f>
        <v>buyer</v>
      </c>
      <c r="F6" s="1205"/>
      <c r="G6" s="1205"/>
      <c r="H6" s="1205"/>
      <c r="I6" s="107"/>
      <c r="J6" s="410" t="str">
        <f>B6</f>
        <v>CLIENT'S NAME</v>
      </c>
      <c r="K6" s="392"/>
      <c r="L6" s="459" t="s">
        <v>5</v>
      </c>
      <c r="M6" s="1207" t="str">
        <f t="shared" ref="M6:M11" si="0">E6</f>
        <v>buyer</v>
      </c>
      <c r="N6" s="1208"/>
      <c r="O6" s="1208"/>
      <c r="P6" s="1209"/>
    </row>
    <row r="7" spans="1:18" s="105" customFormat="1" x14ac:dyDescent="0.25">
      <c r="B7" s="204" t="s">
        <v>6</v>
      </c>
      <c r="C7" s="555"/>
      <c r="D7" s="194" t="s">
        <v>5</v>
      </c>
      <c r="E7" s="1205" t="str">
        <f>FORM!I11</f>
        <v>The Southprime Flats</v>
      </c>
      <c r="F7" s="1205"/>
      <c r="G7" s="1205"/>
      <c r="H7" s="1205"/>
      <c r="I7" s="107"/>
      <c r="J7" s="204" t="str">
        <f>B7</f>
        <v>PROJECT NAME</v>
      </c>
      <c r="K7" s="393"/>
      <c r="L7" s="459" t="s">
        <v>5</v>
      </c>
      <c r="M7" s="1207" t="str">
        <f t="shared" si="0"/>
        <v>The Southprime Flats</v>
      </c>
      <c r="N7" s="1208"/>
      <c r="O7" s="1208"/>
      <c r="P7" s="1209"/>
    </row>
    <row r="8" spans="1:18" s="105" customFormat="1" x14ac:dyDescent="0.25">
      <c r="B8" s="391" t="s">
        <v>278</v>
      </c>
      <c r="C8" s="509"/>
      <c r="D8" s="194" t="s">
        <v>5</v>
      </c>
      <c r="E8" s="1205" t="str">
        <f>'STANDARD COMP.'!E8</f>
        <v>GF-B1-12</v>
      </c>
      <c r="F8" s="1205"/>
      <c r="G8" s="1205"/>
      <c r="H8" s="1205"/>
      <c r="I8" s="107"/>
      <c r="J8" s="204" t="str">
        <f>B8</f>
        <v>PARKING SLOT NUMBER</v>
      </c>
      <c r="K8" s="393"/>
      <c r="L8" s="459" t="s">
        <v>5</v>
      </c>
      <c r="M8" s="1207" t="str">
        <f t="shared" si="0"/>
        <v>GF-B1-12</v>
      </c>
      <c r="N8" s="1208"/>
      <c r="O8" s="1208"/>
      <c r="P8" s="1209"/>
    </row>
    <row r="9" spans="1:18" ht="13.5" customHeight="1" x14ac:dyDescent="0.25">
      <c r="B9" s="204" t="s">
        <v>315</v>
      </c>
      <c r="C9" s="509"/>
      <c r="D9" s="194" t="s">
        <v>5</v>
      </c>
      <c r="E9" s="1205" t="str">
        <f>'STANDARD COMP.'!N9</f>
        <v>Building 1</v>
      </c>
      <c r="F9" s="1205"/>
      <c r="G9" s="1205"/>
      <c r="H9" s="1205"/>
      <c r="I9" s="123"/>
      <c r="J9" s="204" t="str">
        <f t="shared" ref="J9:J11" si="1">B9</f>
        <v>BUILDING</v>
      </c>
      <c r="K9" s="393"/>
      <c r="L9" s="459" t="s">
        <v>5</v>
      </c>
      <c r="M9" s="1207" t="str">
        <f t="shared" si="0"/>
        <v>Building 1</v>
      </c>
      <c r="N9" s="1208"/>
      <c r="O9" s="1208"/>
      <c r="P9" s="1209"/>
    </row>
    <row r="10" spans="1:18" x14ac:dyDescent="0.25">
      <c r="A10" s="128"/>
      <c r="B10" s="204" t="s">
        <v>279</v>
      </c>
      <c r="C10" s="509"/>
      <c r="D10" s="194" t="s">
        <v>5</v>
      </c>
      <c r="E10" s="1205" t="str">
        <f>'STANDARD COMP.'!E10</f>
        <v>Single Slot</v>
      </c>
      <c r="F10" s="1205"/>
      <c r="G10" s="1205"/>
      <c r="H10" s="1205"/>
      <c r="I10" s="125"/>
      <c r="J10" s="204" t="str">
        <f t="shared" si="1"/>
        <v>PARKING MODEL</v>
      </c>
      <c r="K10" s="393"/>
      <c r="L10" s="459" t="s">
        <v>5</v>
      </c>
      <c r="M10" s="1207" t="str">
        <f t="shared" si="0"/>
        <v>Single Slot</v>
      </c>
      <c r="N10" s="1208"/>
      <c r="O10" s="1208"/>
      <c r="P10" s="1209"/>
      <c r="Q10" s="460"/>
    </row>
    <row r="11" spans="1:18" x14ac:dyDescent="0.25">
      <c r="B11" s="1363" t="s">
        <v>280</v>
      </c>
      <c r="C11" s="1364"/>
      <c r="D11" s="194" t="s">
        <v>5</v>
      </c>
      <c r="E11" s="1260">
        <f>'STANDARD COMP.'!E11:F11</f>
        <v>13.5</v>
      </c>
      <c r="F11" s="1387"/>
      <c r="G11" s="479" t="s">
        <v>11</v>
      </c>
      <c r="H11" s="480"/>
      <c r="I11" s="123"/>
      <c r="J11" s="204" t="str">
        <f t="shared" si="1"/>
        <v>TOTAL AREA</v>
      </c>
      <c r="K11" s="393"/>
      <c r="L11" s="461" t="s">
        <v>5</v>
      </c>
      <c r="M11" s="1218">
        <f t="shared" si="0"/>
        <v>13.5</v>
      </c>
      <c r="N11" s="1218"/>
      <c r="O11" s="395" t="s">
        <v>11</v>
      </c>
      <c r="P11" s="462"/>
    </row>
    <row r="12" spans="1:18" x14ac:dyDescent="0.25">
      <c r="B12" s="123"/>
      <c r="C12" s="123"/>
      <c r="D12" s="194"/>
      <c r="E12" s="123"/>
      <c r="F12" s="123"/>
      <c r="G12" s="123"/>
      <c r="H12" s="123"/>
      <c r="I12" s="123"/>
      <c r="J12" s="123"/>
      <c r="K12" s="123"/>
      <c r="L12" s="124"/>
      <c r="M12" s="123"/>
      <c r="N12" s="123"/>
      <c r="O12" s="123"/>
      <c r="P12" s="123"/>
    </row>
    <row r="13" spans="1:18" ht="15" customHeight="1" x14ac:dyDescent="0.25">
      <c r="B13" s="198" t="s">
        <v>16</v>
      </c>
      <c r="C13" s="392"/>
      <c r="D13" s="194" t="s">
        <v>5</v>
      </c>
      <c r="E13" s="546"/>
      <c r="F13" s="1376">
        <f>'STANDARD COMP.'!F13</f>
        <v>832787.56226250005</v>
      </c>
      <c r="G13" s="1369"/>
      <c r="H13" s="1370"/>
      <c r="I13" s="125"/>
      <c r="J13" s="1221" t="s">
        <v>12</v>
      </c>
      <c r="K13" s="1221"/>
      <c r="L13" s="1392" t="s">
        <v>13</v>
      </c>
      <c r="M13" s="1221" t="s">
        <v>14</v>
      </c>
      <c r="N13" s="1221"/>
      <c r="O13" s="1224" t="s">
        <v>15</v>
      </c>
      <c r="P13" s="1225"/>
    </row>
    <row r="14" spans="1:18" s="8" customFormat="1" x14ac:dyDescent="0.25">
      <c r="B14" s="1363" t="s">
        <v>76</v>
      </c>
      <c r="C14" s="1363"/>
      <c r="D14" s="194" t="s">
        <v>5</v>
      </c>
      <c r="E14" s="547">
        <v>0.1</v>
      </c>
      <c r="F14" s="1381">
        <f>(F13-F15)*E23*E14</f>
        <v>12491.813433937501</v>
      </c>
      <c r="G14" s="1381"/>
      <c r="H14" s="1382"/>
      <c r="I14" s="123"/>
      <c r="J14" s="1221"/>
      <c r="K14" s="1221"/>
      <c r="L14" s="1392"/>
      <c r="M14" s="1221"/>
      <c r="N14" s="1221"/>
      <c r="O14" s="1226"/>
      <c r="P14" s="1227"/>
    </row>
    <row r="15" spans="1:18" x14ac:dyDescent="0.25">
      <c r="B15" s="204" t="s">
        <v>167</v>
      </c>
      <c r="C15" s="213"/>
      <c r="D15" s="194" t="s">
        <v>5</v>
      </c>
      <c r="E15" s="546"/>
      <c r="F15" s="1389">
        <f>'STANDARD COMP.'!F14:I14</f>
        <v>0</v>
      </c>
      <c r="G15" s="1381"/>
      <c r="H15" s="1382"/>
      <c r="I15" s="125"/>
      <c r="J15" s="1205" t="s">
        <v>17</v>
      </c>
      <c r="K15" s="1205"/>
      <c r="L15" s="463">
        <f>C2</f>
        <v>45901</v>
      </c>
      <c r="M15" s="1223">
        <f>FORM!I22</f>
        <v>10000</v>
      </c>
      <c r="N15" s="1223"/>
      <c r="O15" s="1189"/>
      <c r="P15" s="1190"/>
    </row>
    <row r="16" spans="1:18" s="8" customFormat="1" x14ac:dyDescent="0.25">
      <c r="B16" s="171" t="s">
        <v>19</v>
      </c>
      <c r="C16" s="130"/>
      <c r="D16" s="194" t="s">
        <v>5</v>
      </c>
      <c r="E16" s="548"/>
      <c r="F16" s="1376">
        <f>F13-F14-F15</f>
        <v>820295.74882856256</v>
      </c>
      <c r="G16" s="1369"/>
      <c r="H16" s="1370"/>
      <c r="I16" s="123"/>
      <c r="J16" s="1205" t="s">
        <v>75</v>
      </c>
      <c r="K16" s="1205"/>
      <c r="L16" s="463">
        <f>L15+7</f>
        <v>45908</v>
      </c>
      <c r="M16" s="1223">
        <f>F25</f>
        <v>140301.49923713598</v>
      </c>
      <c r="N16" s="1223"/>
      <c r="O16" s="1189"/>
      <c r="P16" s="1190"/>
    </row>
    <row r="17" spans="1:16" x14ac:dyDescent="0.25">
      <c r="A17" s="128"/>
      <c r="B17" s="210"/>
      <c r="C17" s="123"/>
      <c r="D17" s="194"/>
      <c r="E17" s="123"/>
      <c r="F17" s="212"/>
      <c r="G17" s="212"/>
      <c r="H17" s="212"/>
      <c r="I17" s="123"/>
      <c r="J17" s="1243" t="s">
        <v>72</v>
      </c>
      <c r="K17" s="1243"/>
      <c r="L17" s="464">
        <f>IF(AND(DAY(R1)&gt;=6,DAY(R1)&lt;=20),DATE(YEAR(R1),MONTH(R1)+1,DAY(20)),IF(AND(DAY(R1)&gt;=21,DAY(R1)&lt;=30),DATE(YEAR(R1),MONTH(R1)+1,IF(DAY(EOMONTH(R1,1))&lt;30,DAY(EOMONTH(R1,1)),DAY(30))),DATE(YEAR(R1),MONTH(R1)+1,DAY(5))))</f>
        <v>45966</v>
      </c>
      <c r="M17" s="1384">
        <f>F27</f>
        <v>851708.49567710399</v>
      </c>
      <c r="N17" s="1384"/>
      <c r="O17" s="1378"/>
      <c r="P17" s="1379"/>
    </row>
    <row r="18" spans="1:16" x14ac:dyDescent="0.25">
      <c r="B18" s="396" t="s">
        <v>23</v>
      </c>
      <c r="C18" s="396"/>
      <c r="D18" s="194" t="s">
        <v>5</v>
      </c>
      <c r="E18" s="478">
        <f>'STANDARD COMP.'!E17</f>
        <v>0.12</v>
      </c>
      <c r="F18" s="1390">
        <f>F16*0.12</f>
        <v>98435.4898594275</v>
      </c>
      <c r="G18" s="1390"/>
      <c r="H18" s="1390"/>
      <c r="I18" s="123"/>
      <c r="J18" s="1232"/>
      <c r="K18" s="1232"/>
      <c r="L18" s="465"/>
      <c r="M18" s="1372"/>
      <c r="N18" s="1372"/>
      <c r="O18" s="123"/>
      <c r="P18" s="123"/>
    </row>
    <row r="19" spans="1:16" x14ac:dyDescent="0.25">
      <c r="B19" s="410" t="s">
        <v>25</v>
      </c>
      <c r="C19" s="166"/>
      <c r="D19" s="194" t="s">
        <v>5</v>
      </c>
      <c r="E19" s="616">
        <v>0.1</v>
      </c>
      <c r="F19" s="1391">
        <f>E19*F13</f>
        <v>83278.756226250014</v>
      </c>
      <c r="G19" s="1391"/>
      <c r="H19" s="1391"/>
      <c r="I19" s="123"/>
      <c r="J19" s="194"/>
      <c r="K19" s="194"/>
      <c r="L19" s="465"/>
      <c r="M19" s="466"/>
      <c r="N19" s="466"/>
      <c r="O19" s="123"/>
      <c r="P19" s="123"/>
    </row>
    <row r="20" spans="1:16" x14ac:dyDescent="0.25">
      <c r="B20" s="210"/>
      <c r="C20" s="123"/>
      <c r="D20" s="194"/>
      <c r="E20" s="123"/>
      <c r="F20" s="212"/>
      <c r="G20" s="212"/>
      <c r="H20" s="212"/>
      <c r="I20" s="123"/>
      <c r="J20" s="194"/>
      <c r="K20" s="194"/>
      <c r="L20" s="465"/>
      <c r="M20" s="466"/>
      <c r="N20" s="466"/>
      <c r="O20" s="123"/>
      <c r="P20" s="123"/>
    </row>
    <row r="21" spans="1:16" x14ac:dyDescent="0.25">
      <c r="A21" s="8"/>
      <c r="B21" s="1259" t="s">
        <v>28</v>
      </c>
      <c r="C21" s="1259"/>
      <c r="D21" s="194" t="s">
        <v>5</v>
      </c>
      <c r="E21" s="411"/>
      <c r="F21" s="1229">
        <f>F16+F18+F19</f>
        <v>1002009.99491424</v>
      </c>
      <c r="G21" s="1230"/>
      <c r="H21" s="1230"/>
      <c r="I21" s="1231"/>
      <c r="J21" s="232"/>
      <c r="K21" s="123"/>
      <c r="L21" s="124"/>
      <c r="M21" s="123"/>
      <c r="N21" s="123"/>
      <c r="O21" s="123"/>
      <c r="P21" s="123"/>
    </row>
    <row r="22" spans="1:16" s="8" customFormat="1" x14ac:dyDescent="0.25">
      <c r="A22" s="122"/>
      <c r="B22" s="210"/>
      <c r="C22" s="123"/>
      <c r="D22" s="194" t="s">
        <v>5</v>
      </c>
      <c r="E22" s="468"/>
      <c r="F22" s="212"/>
      <c r="G22" s="1372"/>
      <c r="H22" s="1372"/>
      <c r="I22" s="123"/>
      <c r="J22" s="123"/>
      <c r="K22" s="467"/>
      <c r="L22" s="124"/>
      <c r="M22" s="123"/>
      <c r="N22" s="123"/>
      <c r="O22" s="123"/>
      <c r="P22" s="123"/>
    </row>
    <row r="23" spans="1:16" x14ac:dyDescent="0.25">
      <c r="B23" s="1371" t="s">
        <v>188</v>
      </c>
      <c r="C23" s="1371"/>
      <c r="D23" s="194" t="s">
        <v>5</v>
      </c>
      <c r="E23" s="470">
        <f>'STANDARD COMP.'!E22</f>
        <v>0.15</v>
      </c>
      <c r="F23" s="1373">
        <f>E23*F21</f>
        <v>150301.49923713598</v>
      </c>
      <c r="G23" s="1374"/>
      <c r="H23" s="1375"/>
      <c r="I23" s="123"/>
      <c r="J23" s="125" t="s">
        <v>70</v>
      </c>
      <c r="K23" s="125"/>
      <c r="L23" s="469"/>
      <c r="M23" s="125"/>
      <c r="N23" s="8"/>
      <c r="O23" s="125" t="s">
        <v>71</v>
      </c>
      <c r="P23" s="123"/>
    </row>
    <row r="24" spans="1:16" x14ac:dyDescent="0.25">
      <c r="A24" s="8"/>
      <c r="B24" s="1363" t="s">
        <v>224</v>
      </c>
      <c r="C24" s="1363"/>
      <c r="D24" s="194" t="s">
        <v>5</v>
      </c>
      <c r="E24" s="471"/>
      <c r="F24" s="1380">
        <f>'STANDARD COMP.'!F23</f>
        <v>10000</v>
      </c>
      <c r="G24" s="1381"/>
      <c r="H24" s="1382"/>
      <c r="I24" s="125"/>
      <c r="J24" s="123"/>
      <c r="K24" s="123"/>
      <c r="L24" s="459"/>
      <c r="M24" s="123"/>
      <c r="N24" s="123"/>
      <c r="O24" s="123"/>
      <c r="P24" s="123"/>
    </row>
    <row r="25" spans="1:16" s="8" customFormat="1" x14ac:dyDescent="0.25">
      <c r="B25" s="1259" t="s">
        <v>77</v>
      </c>
      <c r="C25" s="1259"/>
      <c r="D25" s="194" t="s">
        <v>5</v>
      </c>
      <c r="E25" s="473"/>
      <c r="F25" s="1369">
        <f>F23-F24</f>
        <v>140301.49923713598</v>
      </c>
      <c r="G25" s="1369"/>
      <c r="H25" s="1370"/>
      <c r="I25" s="125"/>
      <c r="J25" s="125"/>
      <c r="K25" s="125"/>
      <c r="L25" s="431"/>
      <c r="M25" s="125"/>
      <c r="N25" s="125"/>
      <c r="O25" s="125"/>
      <c r="P25" s="125"/>
    </row>
    <row r="26" spans="1:16" s="8" customFormat="1" x14ac:dyDescent="0.25">
      <c r="B26" s="210"/>
      <c r="C26" s="123"/>
      <c r="D26" s="194"/>
      <c r="E26" s="123"/>
      <c r="F26" s="267"/>
      <c r="G26" s="267"/>
      <c r="H26" s="267"/>
      <c r="I26" s="125"/>
      <c r="J26" s="1234" t="str">
        <f>FORM!I28</f>
        <v>selller</v>
      </c>
      <c r="K26" s="1234"/>
      <c r="L26" s="1234"/>
      <c r="M26" s="125"/>
      <c r="N26" s="125"/>
      <c r="O26" s="1234" t="str">
        <f>FORM!I26</f>
        <v>buyer</v>
      </c>
      <c r="P26" s="1234"/>
    </row>
    <row r="27" spans="1:16" s="8" customFormat="1" x14ac:dyDescent="0.25">
      <c r="A27" s="122"/>
      <c r="B27" s="171" t="s">
        <v>44</v>
      </c>
      <c r="C27" s="130"/>
      <c r="D27" s="194" t="s">
        <v>5</v>
      </c>
      <c r="E27" s="475">
        <f>100%-E23</f>
        <v>0.85</v>
      </c>
      <c r="F27" s="1393">
        <f>F21*E27</f>
        <v>851708.49567710399</v>
      </c>
      <c r="G27" s="1369"/>
      <c r="H27" s="1370"/>
      <c r="I27" s="123"/>
      <c r="J27" s="134" t="s">
        <v>73</v>
      </c>
      <c r="K27" s="134"/>
      <c r="L27" s="472"/>
      <c r="M27" s="123"/>
      <c r="N27" s="123"/>
      <c r="O27" s="134" t="s">
        <v>74</v>
      </c>
      <c r="P27" s="247"/>
    </row>
    <row r="28" spans="1:16" x14ac:dyDescent="0.25">
      <c r="A28" s="8"/>
      <c r="B28" s="210"/>
      <c r="C28" s="123"/>
      <c r="D28" s="194"/>
      <c r="E28" s="123"/>
      <c r="F28" s="123"/>
      <c r="G28" s="123"/>
      <c r="H28" s="123"/>
      <c r="I28" s="125"/>
      <c r="J28" s="123"/>
      <c r="K28" s="123"/>
      <c r="L28" s="474"/>
      <c r="M28" s="123"/>
      <c r="N28" s="123"/>
      <c r="O28" s="123"/>
      <c r="P28" s="123"/>
    </row>
    <row r="29" spans="1:16" s="8" customFormat="1" x14ac:dyDescent="0.25">
      <c r="A29" s="122"/>
      <c r="B29" s="107"/>
      <c r="C29" s="123"/>
      <c r="D29" s="194"/>
      <c r="E29" s="123"/>
      <c r="F29" s="123"/>
      <c r="G29" s="123"/>
      <c r="H29" s="123"/>
      <c r="I29" s="123"/>
      <c r="J29" s="123"/>
      <c r="K29" s="123"/>
      <c r="L29" s="474"/>
      <c r="M29" s="123"/>
      <c r="N29" s="123"/>
      <c r="O29" s="123"/>
      <c r="P29" s="123"/>
    </row>
    <row r="30" spans="1:16" x14ac:dyDescent="0.25">
      <c r="B30" s="130" t="s">
        <v>48</v>
      </c>
      <c r="C30" s="130"/>
      <c r="D30" s="269"/>
      <c r="E30" s="269"/>
      <c r="F30" s="269"/>
      <c r="G30" s="269"/>
      <c r="H30" s="269"/>
      <c r="I30" s="123"/>
      <c r="J30" s="123"/>
      <c r="K30" s="123"/>
      <c r="L30" s="124"/>
      <c r="M30" s="123"/>
      <c r="N30" s="123"/>
      <c r="O30" s="123"/>
      <c r="P30" s="123"/>
    </row>
    <row r="31" spans="1:16" x14ac:dyDescent="0.25">
      <c r="B31" s="107"/>
      <c r="C31" s="123"/>
      <c r="D31" s="194"/>
      <c r="E31" s="123"/>
      <c r="F31" s="123"/>
      <c r="G31" s="123"/>
      <c r="H31" s="123"/>
      <c r="I31" s="123"/>
    </row>
    <row r="32" spans="1:16" x14ac:dyDescent="0.25">
      <c r="B32" s="373" t="s">
        <v>51</v>
      </c>
      <c r="C32" s="373" t="s">
        <v>52</v>
      </c>
      <c r="D32" s="373" t="s">
        <v>53</v>
      </c>
      <c r="E32" s="373" t="s">
        <v>54</v>
      </c>
      <c r="F32" s="1221" t="s">
        <v>55</v>
      </c>
      <c r="G32" s="1221"/>
      <c r="H32" s="1221"/>
      <c r="I32" s="123"/>
    </row>
    <row r="33" spans="2:9" x14ac:dyDescent="0.25">
      <c r="B33" s="424">
        <v>5</v>
      </c>
      <c r="C33" s="760">
        <f>'STANDARD COMP.'!C33</f>
        <v>7.0000000000000007E-2</v>
      </c>
      <c r="D33" s="425">
        <f>PMT(C33/12,B33*12,-1)</f>
        <v>1.9801198540349535E-2</v>
      </c>
      <c r="E33" s="426">
        <f>F27*D33</f>
        <v>16864.849021404771</v>
      </c>
      <c r="F33" s="1223">
        <f>E33/0.3</f>
        <v>56216.163404682571</v>
      </c>
      <c r="G33" s="1223"/>
      <c r="H33" s="1223"/>
      <c r="I33" s="123"/>
    </row>
    <row r="34" spans="2:9" x14ac:dyDescent="0.25">
      <c r="B34" s="424">
        <v>10</v>
      </c>
      <c r="C34" s="760">
        <f>'STANDARD COMP.'!C34</f>
        <v>7.0000000000000007E-2</v>
      </c>
      <c r="D34" s="425">
        <f>PMT(C34/12,B34*12,-1)</f>
        <v>1.1610847921862406E-2</v>
      </c>
      <c r="E34" s="426">
        <f>F27*D34</f>
        <v>9889.0578170650588</v>
      </c>
      <c r="F34" s="1223">
        <f>E34/0.3</f>
        <v>32963.526056883529</v>
      </c>
      <c r="G34" s="1223"/>
      <c r="H34" s="1223"/>
      <c r="I34" s="123"/>
    </row>
    <row r="35" spans="2:9" x14ac:dyDescent="0.25">
      <c r="B35" s="424">
        <v>15</v>
      </c>
      <c r="C35" s="760">
        <f>'STANDARD COMP.'!C35</f>
        <v>7.0000000000000007E-2</v>
      </c>
      <c r="D35" s="425">
        <f>PMT(C35/12,B35*12,-1)</f>
        <v>8.988282708524269E-3</v>
      </c>
      <c r="E35" s="426">
        <f>F27*D35</f>
        <v>7655.3967443977308</v>
      </c>
      <c r="F35" s="1223">
        <f>E35/0.3</f>
        <v>25517.989147992437</v>
      </c>
      <c r="G35" s="1223"/>
      <c r="H35" s="1223"/>
      <c r="I35" s="123"/>
    </row>
    <row r="36" spans="2:9" x14ac:dyDescent="0.25">
      <c r="B36" s="424">
        <v>20</v>
      </c>
      <c r="C36" s="760">
        <f>'STANDARD COMP.'!C36</f>
        <v>7.0000000000000007E-2</v>
      </c>
      <c r="D36" s="425">
        <f>PMT(C36/12,B36*12,-1)</f>
        <v>7.7529893561887461E-3</v>
      </c>
      <c r="E36" s="426">
        <f>F27*D36</f>
        <v>6603.2869015601154</v>
      </c>
      <c r="F36" s="1223">
        <f>E36/0.3</f>
        <v>22010.956338533721</v>
      </c>
      <c r="G36" s="1223"/>
      <c r="H36" s="1223"/>
      <c r="I36" s="123"/>
    </row>
    <row r="37" spans="2:9" x14ac:dyDescent="0.25">
      <c r="B37" s="898" t="str">
        <f>'STANDARD COMP.'!B37</f>
        <v>Fixed for three (3) years</v>
      </c>
      <c r="D37" s="122"/>
      <c r="F37" s="123"/>
      <c r="G37" s="123"/>
      <c r="H37" s="123"/>
      <c r="I37" s="123"/>
    </row>
    <row r="38" spans="2:9" x14ac:dyDescent="0.25">
      <c r="B38" s="898" t="str">
        <f>'STANDARD COMP.'!B38</f>
        <v>Sample Computation for Interest rate is at 7% fixed for three (3) years only</v>
      </c>
      <c r="D38" s="194"/>
      <c r="E38" s="123"/>
      <c r="F38" s="123"/>
      <c r="G38" s="123"/>
      <c r="H38" s="123"/>
      <c r="I38" s="123"/>
    </row>
    <row r="39" spans="2:9" x14ac:dyDescent="0.25">
      <c r="B39" s="245" t="s">
        <v>63</v>
      </c>
      <c r="C39" s="428"/>
      <c r="D39" s="194"/>
      <c r="E39" s="123"/>
      <c r="F39" s="123"/>
      <c r="G39" s="123"/>
      <c r="H39" s="123"/>
      <c r="I39" s="123"/>
    </row>
    <row r="40" spans="2:9" x14ac:dyDescent="0.25">
      <c r="B40" s="245" t="s">
        <v>65</v>
      </c>
      <c r="C40" s="123"/>
      <c r="D40" s="194"/>
      <c r="E40" s="123"/>
      <c r="F40" s="123"/>
      <c r="G40" s="123"/>
      <c r="H40" s="123"/>
      <c r="I40" s="123"/>
    </row>
    <row r="41" spans="2:9" x14ac:dyDescent="0.25">
      <c r="C41" s="428"/>
      <c r="D41" s="194"/>
      <c r="E41" s="123"/>
      <c r="F41" s="123"/>
      <c r="G41" s="123"/>
      <c r="H41" s="123"/>
      <c r="I41" s="123"/>
    </row>
    <row r="42" spans="2:9" x14ac:dyDescent="0.25">
      <c r="C42" s="123"/>
      <c r="D42" s="122"/>
      <c r="I42" s="123"/>
    </row>
    <row r="43" spans="2:9" x14ac:dyDescent="0.25">
      <c r="B43" s="130" t="s">
        <v>202</v>
      </c>
      <c r="C43" s="130"/>
      <c r="D43" s="269"/>
      <c r="E43" s="269"/>
      <c r="F43" s="269"/>
      <c r="G43" s="269"/>
      <c r="H43" s="269"/>
      <c r="I43" s="123"/>
    </row>
    <row r="44" spans="2:9" x14ac:dyDescent="0.25">
      <c r="B44" s="269"/>
      <c r="C44" s="269"/>
      <c r="D44" s="269"/>
      <c r="E44" s="269"/>
      <c r="F44" s="269"/>
      <c r="G44" s="269"/>
      <c r="H44" s="269"/>
      <c r="I44" s="123"/>
    </row>
    <row r="45" spans="2:9" x14ac:dyDescent="0.25">
      <c r="B45" s="1383" t="s">
        <v>164</v>
      </c>
      <c r="C45" s="1383"/>
      <c r="D45" s="1383" t="s">
        <v>162</v>
      </c>
      <c r="E45" s="1383"/>
      <c r="F45" s="1383"/>
      <c r="G45" s="1383" t="s">
        <v>207</v>
      </c>
      <c r="H45" s="1383"/>
    </row>
    <row r="46" spans="2:9" x14ac:dyDescent="0.25">
      <c r="B46" s="1199">
        <f>'STANDARD COMP.'!B45</f>
        <v>0</v>
      </c>
      <c r="C46" s="1200"/>
      <c r="D46" s="1199">
        <f>'STANDARD COMP.'!D45:D45</f>
        <v>0</v>
      </c>
      <c r="E46" s="1203"/>
      <c r="F46" s="1200"/>
      <c r="G46" s="1365">
        <f>'STANDARD COMP.'!G45</f>
        <v>0</v>
      </c>
      <c r="H46" s="1366"/>
    </row>
    <row r="47" spans="2:9" x14ac:dyDescent="0.25">
      <c r="B47" s="1201"/>
      <c r="C47" s="1202"/>
      <c r="D47" s="1201"/>
      <c r="E47" s="1204"/>
      <c r="F47" s="1202"/>
      <c r="G47" s="1367"/>
      <c r="H47" s="1368"/>
      <c r="I47" s="123"/>
    </row>
    <row r="48" spans="2:9" ht="15" customHeight="1" x14ac:dyDescent="0.25">
      <c r="B48" s="1199">
        <f>'STANDARD COMP.'!B47</f>
        <v>0</v>
      </c>
      <c r="C48" s="1200"/>
      <c r="D48" s="1199">
        <f>'STANDARD COMP.'!D47:D47</f>
        <v>0</v>
      </c>
      <c r="E48" s="1203"/>
      <c r="F48" s="1200"/>
      <c r="G48" s="1365">
        <f>'STANDARD COMP.'!G47</f>
        <v>0</v>
      </c>
      <c r="H48" s="1366"/>
      <c r="I48" s="123"/>
    </row>
    <row r="49" spans="1:9" ht="14.25" customHeight="1" x14ac:dyDescent="0.25">
      <c r="B49" s="1201"/>
      <c r="C49" s="1202"/>
      <c r="D49" s="1201"/>
      <c r="E49" s="1204"/>
      <c r="F49" s="1202"/>
      <c r="G49" s="1367"/>
      <c r="H49" s="1368"/>
      <c r="I49" s="123"/>
    </row>
    <row r="50" spans="1:9" ht="15" customHeight="1" x14ac:dyDescent="0.25">
      <c r="B50" s="1199">
        <f>'STANDARD COMP.'!B49</f>
        <v>0</v>
      </c>
      <c r="C50" s="1200"/>
      <c r="D50" s="1199">
        <f>'STANDARD COMP.'!D49:D49</f>
        <v>0</v>
      </c>
      <c r="E50" s="1203"/>
      <c r="F50" s="1200"/>
      <c r="G50" s="1365">
        <f>'STANDARD COMP.'!G49</f>
        <v>0</v>
      </c>
      <c r="H50" s="1366"/>
      <c r="I50" s="400"/>
    </row>
    <row r="51" spans="1:9" ht="14.25" customHeight="1" x14ac:dyDescent="0.25">
      <c r="A51" s="476" t="e">
        <f>(F16-(#REF!+F14))*12%</f>
        <v>#REF!</v>
      </c>
      <c r="B51" s="1201"/>
      <c r="C51" s="1202"/>
      <c r="D51" s="1201"/>
      <c r="E51" s="1204"/>
      <c r="F51" s="1202"/>
      <c r="G51" s="1367"/>
      <c r="H51" s="1368"/>
      <c r="I51" s="123"/>
    </row>
    <row r="52" spans="1:9" ht="15" customHeight="1" x14ac:dyDescent="0.25">
      <c r="B52" s="1199">
        <f>'STANDARD COMP.'!B51</f>
        <v>0</v>
      </c>
      <c r="C52" s="1200"/>
      <c r="D52" s="1199">
        <f>'STANDARD COMP.'!D51:D51</f>
        <v>0</v>
      </c>
      <c r="E52" s="1203"/>
      <c r="F52" s="1200"/>
      <c r="G52" s="1365">
        <f>'STANDARD COMP.'!G51</f>
        <v>0</v>
      </c>
      <c r="H52" s="1366"/>
      <c r="I52" s="123"/>
    </row>
    <row r="53" spans="1:9" ht="14.25" customHeight="1" x14ac:dyDescent="0.25">
      <c r="B53" s="1201"/>
      <c r="C53" s="1202"/>
      <c r="D53" s="1201"/>
      <c r="E53" s="1204"/>
      <c r="F53" s="1202"/>
      <c r="G53" s="1367"/>
      <c r="H53" s="1368"/>
    </row>
    <row r="54" spans="1:9" ht="15" customHeight="1" x14ac:dyDescent="0.25">
      <c r="B54" s="1199">
        <f>'STANDARD COMP.'!B53</f>
        <v>0</v>
      </c>
      <c r="C54" s="1200"/>
      <c r="D54" s="1199">
        <f>'STANDARD COMP.'!D53:D53</f>
        <v>0</v>
      </c>
      <c r="E54" s="1203"/>
      <c r="F54" s="1200"/>
      <c r="G54" s="1365">
        <f>'STANDARD COMP.'!G53</f>
        <v>0</v>
      </c>
      <c r="H54" s="1366"/>
    </row>
    <row r="55" spans="1:9" ht="11.25" customHeight="1" x14ac:dyDescent="0.25">
      <c r="B55" s="1201"/>
      <c r="C55" s="1202"/>
      <c r="D55" s="1201"/>
      <c r="E55" s="1204"/>
      <c r="F55" s="1202"/>
      <c r="G55" s="1367"/>
      <c r="H55" s="1368"/>
    </row>
    <row r="56" spans="1:9" ht="15" customHeight="1" x14ac:dyDescent="0.25">
      <c r="B56" s="1199">
        <f>'STANDARD COMP.'!B55</f>
        <v>0</v>
      </c>
      <c r="C56" s="1200"/>
      <c r="D56" s="1199">
        <f>'STANDARD COMP.'!D55:D55</f>
        <v>0</v>
      </c>
      <c r="E56" s="1203"/>
      <c r="F56" s="1200"/>
      <c r="G56" s="1365">
        <f>'STANDARD COMP.'!G55</f>
        <v>0</v>
      </c>
      <c r="H56" s="1366"/>
    </row>
    <row r="57" spans="1:9" ht="14.25" customHeight="1" x14ac:dyDescent="0.25">
      <c r="B57" s="1201"/>
      <c r="C57" s="1202"/>
      <c r="D57" s="1201"/>
      <c r="E57" s="1204"/>
      <c r="F57" s="1202"/>
      <c r="G57" s="1367"/>
      <c r="H57" s="1368"/>
    </row>
    <row r="58" spans="1:9" ht="15" customHeight="1" x14ac:dyDescent="0.25">
      <c r="B58" s="194"/>
      <c r="C58" s="194"/>
      <c r="D58" s="477"/>
      <c r="E58" s="477"/>
      <c r="F58" s="477"/>
      <c r="G58" s="194"/>
      <c r="H58" s="194"/>
    </row>
    <row r="59" spans="1:9" ht="14.25" customHeight="1" x14ac:dyDescent="0.25">
      <c r="B59" s="429"/>
      <c r="C59" s="429" t="s">
        <v>220</v>
      </c>
      <c r="D59" s="1192"/>
      <c r="E59" s="1192"/>
      <c r="F59" s="1192"/>
      <c r="G59" s="194"/>
      <c r="H59" s="194"/>
    </row>
    <row r="60" spans="1:9" x14ac:dyDescent="0.25">
      <c r="B60" s="194"/>
      <c r="C60" s="194"/>
      <c r="D60" s="477"/>
      <c r="E60" s="477"/>
      <c r="F60" s="477"/>
      <c r="G60" s="194"/>
      <c r="H60" s="194"/>
    </row>
    <row r="61" spans="1:9" x14ac:dyDescent="0.25">
      <c r="B61" s="194"/>
      <c r="C61" s="194"/>
      <c r="D61" s="477"/>
      <c r="E61" s="477"/>
      <c r="F61" s="477"/>
      <c r="G61" s="194"/>
      <c r="H61" s="194"/>
    </row>
    <row r="63" spans="1:9" x14ac:dyDescent="0.25">
      <c r="B63" s="125" t="s">
        <v>70</v>
      </c>
      <c r="C63" s="125"/>
      <c r="D63" s="469"/>
      <c r="E63" s="125"/>
      <c r="F63" s="125" t="s">
        <v>71</v>
      </c>
      <c r="G63" s="123"/>
    </row>
    <row r="64" spans="1:9" x14ac:dyDescent="0.25">
      <c r="B64" s="123"/>
      <c r="C64" s="123"/>
      <c r="D64" s="459"/>
      <c r="E64" s="123"/>
      <c r="F64" s="123"/>
      <c r="G64" s="123"/>
    </row>
    <row r="65" spans="2:8" x14ac:dyDescent="0.25">
      <c r="B65" s="125"/>
      <c r="C65" s="125"/>
      <c r="D65" s="431"/>
      <c r="E65" s="125"/>
      <c r="F65" s="125"/>
      <c r="G65" s="125"/>
    </row>
    <row r="66" spans="2:8" x14ac:dyDescent="0.25">
      <c r="B66" s="1234" t="str">
        <f>FORM!I28</f>
        <v>selller</v>
      </c>
      <c r="C66" s="1234"/>
      <c r="D66" s="1234"/>
      <c r="E66" s="125"/>
      <c r="F66" s="1377" t="str">
        <f>FORM!I26</f>
        <v>buyer</v>
      </c>
      <c r="G66" s="1377"/>
      <c r="H66" s="1377"/>
    </row>
    <row r="67" spans="2:8" x14ac:dyDescent="0.25">
      <c r="B67" s="134" t="s">
        <v>73</v>
      </c>
      <c r="C67" s="134"/>
      <c r="D67" s="472"/>
      <c r="E67" s="123"/>
      <c r="F67" s="247" t="s">
        <v>74</v>
      </c>
      <c r="G67" s="247"/>
      <c r="H67" s="177"/>
    </row>
  </sheetData>
  <sheetProtection password="CC2E" sheet="1" formatCells="0" formatColumns="0" formatRows="0"/>
  <mergeCells count="80">
    <mergeCell ref="F15:H15"/>
    <mergeCell ref="F16:H16"/>
    <mergeCell ref="F36:H36"/>
    <mergeCell ref="M13:N14"/>
    <mergeCell ref="F18:H18"/>
    <mergeCell ref="F19:H19"/>
    <mergeCell ref="M15:N15"/>
    <mergeCell ref="J13:K14"/>
    <mergeCell ref="J15:K15"/>
    <mergeCell ref="L13:L14"/>
    <mergeCell ref="F34:H34"/>
    <mergeCell ref="F35:H35"/>
    <mergeCell ref="F32:H32"/>
    <mergeCell ref="F27:H27"/>
    <mergeCell ref="F14:H14"/>
    <mergeCell ref="G2:H2"/>
    <mergeCell ref="E10:H10"/>
    <mergeCell ref="M10:P10"/>
    <mergeCell ref="E11:F11"/>
    <mergeCell ref="M11:N11"/>
    <mergeCell ref="O3:P3"/>
    <mergeCell ref="B4:H4"/>
    <mergeCell ref="J4:P4"/>
    <mergeCell ref="E9:H9"/>
    <mergeCell ref="M9:P9"/>
    <mergeCell ref="E6:H6"/>
    <mergeCell ref="M6:P6"/>
    <mergeCell ref="E7:H7"/>
    <mergeCell ref="M7:P7"/>
    <mergeCell ref="E8:H8"/>
    <mergeCell ref="M8:P8"/>
    <mergeCell ref="D56:F57"/>
    <mergeCell ref="G56:H57"/>
    <mergeCell ref="O26:P26"/>
    <mergeCell ref="J16:K16"/>
    <mergeCell ref="M16:N16"/>
    <mergeCell ref="J18:K18"/>
    <mergeCell ref="M18:N18"/>
    <mergeCell ref="J17:K17"/>
    <mergeCell ref="M17:N17"/>
    <mergeCell ref="J26:L26"/>
    <mergeCell ref="F21:I21"/>
    <mergeCell ref="B52:C53"/>
    <mergeCell ref="D52:F53"/>
    <mergeCell ref="G52:H53"/>
    <mergeCell ref="B54:C55"/>
    <mergeCell ref="D54:F55"/>
    <mergeCell ref="G54:H55"/>
    <mergeCell ref="F66:H66"/>
    <mergeCell ref="O13:P14"/>
    <mergeCell ref="O15:P15"/>
    <mergeCell ref="O16:P16"/>
    <mergeCell ref="O17:P17"/>
    <mergeCell ref="D50:F51"/>
    <mergeCell ref="B66:D66"/>
    <mergeCell ref="F24:H24"/>
    <mergeCell ref="B45:C45"/>
    <mergeCell ref="D45:F45"/>
    <mergeCell ref="G45:H45"/>
    <mergeCell ref="D59:F59"/>
    <mergeCell ref="B46:C47"/>
    <mergeCell ref="D46:F47"/>
    <mergeCell ref="G46:H47"/>
    <mergeCell ref="B56:C57"/>
    <mergeCell ref="B11:C11"/>
    <mergeCell ref="G50:H51"/>
    <mergeCell ref="B21:C21"/>
    <mergeCell ref="B14:C14"/>
    <mergeCell ref="B25:C25"/>
    <mergeCell ref="F25:H25"/>
    <mergeCell ref="B50:C51"/>
    <mergeCell ref="B24:C24"/>
    <mergeCell ref="B23:C23"/>
    <mergeCell ref="B48:C49"/>
    <mergeCell ref="D48:F49"/>
    <mergeCell ref="G48:H49"/>
    <mergeCell ref="G22:H22"/>
    <mergeCell ref="F23:H23"/>
    <mergeCell ref="F33:H33"/>
    <mergeCell ref="F13:H13"/>
  </mergeCells>
  <pageMargins left="0.70866141732283472" right="0.70866141732283472" top="0.86614173228346458" bottom="0.74803149606299213" header="0.31496062992125984" footer="0.31496062992125984"/>
  <pageSetup paperSize="14" scale="75" orientation="portrait" r:id="rId1"/>
  <headerFooter>
    <oddHeader xml:space="preserve">&amp;R&amp;"Century Gothic,Bold"&amp;18ANNEX A: 
SAMPLE PACKAGE COMPUTATION
</oddHeader>
  </headerFooter>
  <colBreaks count="1" manualBreakCount="1">
    <brk id="8" max="70"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U123"/>
  <sheetViews>
    <sheetView showGridLines="0" showZeros="0" view="pageLayout" topLeftCell="A88" zoomScaleNormal="100" zoomScaleSheetLayoutView="85" workbookViewId="0">
      <selection activeCell="O40" sqref="O40:R40"/>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27" t="str">
        <f>FORM!I14</f>
        <v>Building 1</v>
      </c>
      <c r="E21" s="1328"/>
      <c r="F21" s="1329"/>
      <c r="G21" s="50" t="s">
        <v>136</v>
      </c>
      <c r="H21" s="51"/>
      <c r="I21" s="52"/>
      <c r="J21" s="1330" t="str">
        <f>D21</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 t="shared" ref="J23:J25" si="0">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'STANDARD COMP.'!E11</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30" t="str">
        <f t="shared" si="0"/>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394">
        <f>'SPOT EQUITY_7DAYS'!F13</f>
        <v>832787.56226250005</v>
      </c>
      <c r="J27" s="1395"/>
      <c r="K27" s="1395"/>
      <c r="L27" s="1395"/>
      <c r="M27" s="1395"/>
      <c r="N27" s="1395"/>
      <c r="O27" s="1395"/>
      <c r="P27" s="1395"/>
      <c r="Q27" s="1395"/>
      <c r="R27" s="1395"/>
      <c r="S27" s="1395"/>
      <c r="T27" s="1395"/>
      <c r="U27" s="1396"/>
    </row>
    <row r="28" spans="1:21" ht="14" x14ac:dyDescent="0.3">
      <c r="A28" s="50" t="s">
        <v>147</v>
      </c>
      <c r="B28" s="51"/>
      <c r="C28" s="53"/>
      <c r="D28" s="53"/>
      <c r="E28" s="53"/>
      <c r="F28" s="53"/>
      <c r="G28" s="53"/>
      <c r="H28" s="54"/>
      <c r="I28" s="1397">
        <f>'SPOT EQUITY_7DAYS'!F15</f>
        <v>0</v>
      </c>
      <c r="J28" s="1398"/>
      <c r="K28" s="1398"/>
      <c r="L28" s="1398"/>
      <c r="M28" s="1398"/>
      <c r="N28" s="1398"/>
      <c r="O28" s="1398"/>
      <c r="P28" s="1398"/>
      <c r="Q28" s="1398"/>
      <c r="R28" s="1398"/>
      <c r="S28" s="1398"/>
      <c r="T28" s="1398"/>
      <c r="U28" s="1399"/>
    </row>
    <row r="29" spans="1:21" ht="14" x14ac:dyDescent="0.3">
      <c r="A29" s="60" t="s">
        <v>81</v>
      </c>
      <c r="B29" s="61"/>
      <c r="C29" s="62"/>
      <c r="D29" s="62"/>
      <c r="E29" s="62"/>
      <c r="F29" s="62"/>
      <c r="G29" s="62"/>
      <c r="H29" s="59"/>
      <c r="I29" s="1394">
        <f>'SPOT EQUITY_7DAYS'!F16</f>
        <v>820295.74882856256</v>
      </c>
      <c r="J29" s="1395"/>
      <c r="K29" s="1395"/>
      <c r="L29" s="1395"/>
      <c r="M29" s="1395"/>
      <c r="N29" s="1395"/>
      <c r="O29" s="1395"/>
      <c r="P29" s="1395"/>
      <c r="Q29" s="1395"/>
      <c r="R29" s="1395"/>
      <c r="S29" s="1395"/>
      <c r="T29" s="1395"/>
      <c r="U29" s="1396"/>
    </row>
    <row r="30" spans="1:21" ht="14" x14ac:dyDescent="0.3">
      <c r="A30" s="50" t="s">
        <v>148</v>
      </c>
      <c r="B30" s="51"/>
      <c r="C30" s="53"/>
      <c r="D30" s="53"/>
      <c r="E30" s="53"/>
      <c r="F30" s="53"/>
      <c r="G30" s="53"/>
      <c r="H30" s="54"/>
      <c r="I30" s="1394">
        <f>'SPOT EQUITY_7DAYS'!F19</f>
        <v>83278.756226250014</v>
      </c>
      <c r="J30" s="1395"/>
      <c r="K30" s="1395"/>
      <c r="L30" s="1395"/>
      <c r="M30" s="1395"/>
      <c r="N30" s="1395"/>
      <c r="O30" s="1395"/>
      <c r="P30" s="1395"/>
      <c r="Q30" s="1395"/>
      <c r="R30" s="1395"/>
      <c r="S30" s="1395"/>
      <c r="T30" s="1395"/>
      <c r="U30" s="1396"/>
    </row>
    <row r="31" spans="1:21" ht="14" x14ac:dyDescent="0.3">
      <c r="A31" s="50" t="s">
        <v>149</v>
      </c>
      <c r="B31" s="51"/>
      <c r="C31" s="53"/>
      <c r="D31" s="53"/>
      <c r="E31" s="53"/>
      <c r="F31" s="53"/>
      <c r="G31" s="53"/>
      <c r="H31" s="54"/>
      <c r="I31" s="1394">
        <f>'SPOT EQUITY_7DAYS'!F18</f>
        <v>98435.4898594275</v>
      </c>
      <c r="J31" s="1395"/>
      <c r="K31" s="1395"/>
      <c r="L31" s="1395"/>
      <c r="M31" s="1395"/>
      <c r="N31" s="1395"/>
      <c r="O31" s="1395"/>
      <c r="P31" s="1395"/>
      <c r="Q31" s="1395"/>
      <c r="R31" s="1395"/>
      <c r="S31" s="1395"/>
      <c r="T31" s="1395"/>
      <c r="U31" s="1396"/>
    </row>
    <row r="32" spans="1:21" ht="14" x14ac:dyDescent="0.3">
      <c r="A32" s="50" t="s">
        <v>150</v>
      </c>
      <c r="B32" s="51"/>
      <c r="C32" s="53"/>
      <c r="D32" s="53"/>
      <c r="E32" s="53"/>
      <c r="F32" s="53"/>
      <c r="G32" s="53"/>
      <c r="H32" s="54"/>
      <c r="I32" s="1394">
        <f>'SPOT EQUITY_7DAYS'!E21</f>
        <v>0</v>
      </c>
      <c r="J32" s="1395"/>
      <c r="K32" s="1395"/>
      <c r="L32" s="1395"/>
      <c r="M32" s="1395"/>
      <c r="N32" s="1395"/>
      <c r="O32" s="1395"/>
      <c r="P32" s="1395"/>
      <c r="Q32" s="1395"/>
      <c r="R32" s="1395"/>
      <c r="S32" s="1395"/>
      <c r="T32" s="1395"/>
      <c r="U32" s="1396"/>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selectLockedCells="1"/>
  <mergeCells count="70">
    <mergeCell ref="T22:U22"/>
    <mergeCell ref="J23:L23"/>
    <mergeCell ref="P23:Q23"/>
    <mergeCell ref="T23:U23"/>
    <mergeCell ref="J22:L22"/>
    <mergeCell ref="P22:Q22"/>
    <mergeCell ref="D23:F23"/>
    <mergeCell ref="A113:U113"/>
    <mergeCell ref="A116:U116"/>
    <mergeCell ref="O40:R40"/>
    <mergeCell ref="R24:S25"/>
    <mergeCell ref="T24:U25"/>
    <mergeCell ref="D25:F25"/>
    <mergeCell ref="I30:U30"/>
    <mergeCell ref="I31:U31"/>
    <mergeCell ref="I32:U32"/>
    <mergeCell ref="S92:T92"/>
    <mergeCell ref="S90:T90"/>
    <mergeCell ref="M90:O90"/>
    <mergeCell ref="M91:O91"/>
    <mergeCell ref="A95:U95"/>
    <mergeCell ref="A96:H96"/>
    <mergeCell ref="A117:U117"/>
    <mergeCell ref="A99:H99"/>
    <mergeCell ref="I99:O99"/>
    <mergeCell ref="P99:U99"/>
    <mergeCell ref="A100:H100"/>
    <mergeCell ref="I100:O100"/>
    <mergeCell ref="P100:U100"/>
    <mergeCell ref="A102:U102"/>
    <mergeCell ref="H112:Q112"/>
    <mergeCell ref="A4:Q4"/>
    <mergeCell ref="A5:U6"/>
    <mergeCell ref="A9:U9"/>
    <mergeCell ref="T21:U21"/>
    <mergeCell ref="E16:T16"/>
    <mergeCell ref="A20:F20"/>
    <mergeCell ref="G20:L20"/>
    <mergeCell ref="M20:Q20"/>
    <mergeCell ref="R20:U20"/>
    <mergeCell ref="D21:F21"/>
    <mergeCell ref="J21:L21"/>
    <mergeCell ref="P21:Q21"/>
    <mergeCell ref="K13:U13"/>
    <mergeCell ref="A10:P10"/>
    <mergeCell ref="D22:F22"/>
    <mergeCell ref="D24:F24"/>
    <mergeCell ref="E91:G91"/>
    <mergeCell ref="S91:T91"/>
    <mergeCell ref="D3:Q3"/>
    <mergeCell ref="C40:N40"/>
    <mergeCell ref="H8:O8"/>
    <mergeCell ref="I29:U29"/>
    <mergeCell ref="J24:L24"/>
    <mergeCell ref="P24:Q24"/>
    <mergeCell ref="J25:L25"/>
    <mergeCell ref="P25:Q25"/>
    <mergeCell ref="I28:U28"/>
    <mergeCell ref="I27:U27"/>
    <mergeCell ref="I11:U11"/>
    <mergeCell ref="M12:U12"/>
    <mergeCell ref="A98:H98"/>
    <mergeCell ref="I98:O98"/>
    <mergeCell ref="P98:U98"/>
    <mergeCell ref="E90:G90"/>
    <mergeCell ref="I96:O96"/>
    <mergeCell ref="P96:U96"/>
    <mergeCell ref="A97:H97"/>
    <mergeCell ref="I97:O97"/>
    <mergeCell ref="P97:U9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16404" r:id="rId10" name="Check Box 20">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16405" r:id="rId11" name="Check Box 21">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16406" r:id="rId12" name="Check Box 22">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16407" r:id="rId13" name="Check Box 23">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16408" r:id="rId14" name="Check Box 24">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16409" r:id="rId15" name="Check Box 25">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16410" r:id="rId16" name="Check Box 26">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16411" r:id="rId17" name="Check Box 27">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16412" r:id="rId18" name="Check Box 28">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16413" r:id="rId19" name="Check Box 29">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16414" r:id="rId20" name="Check Box 30">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16415" r:id="rId21" name="Check Box 31">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16416" r:id="rId22" name="Check Box 32">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6"/>
  <dimension ref="A1:AD66"/>
  <sheetViews>
    <sheetView showGridLines="0" showZeros="0" view="pageLayout" zoomScale="85" zoomScaleNormal="90" zoomScaleSheetLayoutView="85" zoomScalePageLayoutView="85" workbookViewId="0">
      <selection activeCell="F19" sqref="F19:H19"/>
    </sheetView>
  </sheetViews>
  <sheetFormatPr defaultColWidth="9.1796875" defaultRowHeight="14.5" x14ac:dyDescent="0.35"/>
  <cols>
    <col min="1" max="1" width="0.81640625" customWidth="1"/>
    <col min="2" max="2" width="13" customWidth="1"/>
    <col min="3" max="3" width="19.81640625" customWidth="1"/>
    <col min="4" max="4" width="18.1796875" style="135" customWidth="1"/>
    <col min="5" max="5" width="18" customWidth="1"/>
    <col min="6" max="6" width="14.1796875" customWidth="1"/>
    <col min="7" max="7" width="7.1796875" customWidth="1"/>
    <col min="8" max="8" width="5.453125" customWidth="1"/>
    <col min="9" max="9" width="6.81640625" customWidth="1"/>
    <col min="10" max="10" width="8.81640625" customWidth="1"/>
    <col min="11" max="11" width="5.54296875" hidden="1" customWidth="1"/>
    <col min="12" max="12" width="0.1796875" hidden="1" customWidth="1"/>
    <col min="13" max="13" width="13.81640625" customWidth="1"/>
    <col min="14" max="14" width="18.54296875" customWidth="1"/>
    <col min="15" max="15" width="21.81640625" style="136" customWidth="1"/>
    <col min="17" max="17" width="14.81640625" customWidth="1"/>
    <col min="18" max="18" width="17.54296875" customWidth="1"/>
    <col min="19" max="19" width="15.81640625" customWidth="1"/>
    <col min="20" max="20" width="8.1796875" customWidth="1"/>
    <col min="22" max="22" width="9.1796875" style="137"/>
    <col min="23" max="23" width="9.1796875" style="137" customWidth="1"/>
    <col min="24" max="25" width="9.1796875" style="137" hidden="1" customWidth="1"/>
    <col min="26" max="29" width="9.1796875" style="137" customWidth="1"/>
    <col min="30" max="30" width="9.1796875" style="137"/>
  </cols>
  <sheetData>
    <row r="1" spans="2:30" ht="3" customHeight="1" x14ac:dyDescent="0.35">
      <c r="U1" s="249">
        <f>EDATE(O16,'STANDARD COMP.'!E26)</f>
        <v>45931</v>
      </c>
    </row>
    <row r="2" spans="2:30" s="158" customFormat="1" ht="13" x14ac:dyDescent="0.3">
      <c r="B2" s="104" t="s">
        <v>2</v>
      </c>
      <c r="C2" s="500">
        <f>FORM!I20</f>
        <v>45901</v>
      </c>
      <c r="D2" s="138"/>
      <c r="E2" s="138"/>
      <c r="F2" s="104" t="s">
        <v>92</v>
      </c>
      <c r="G2" s="1414" t="s">
        <v>88</v>
      </c>
      <c r="H2" s="1385"/>
      <c r="I2" s="1385"/>
      <c r="J2" s="1386"/>
      <c r="K2" s="122"/>
      <c r="L2" s="122"/>
      <c r="M2" s="680" t="s">
        <v>2</v>
      </c>
      <c r="N2" s="500">
        <f>C2</f>
        <v>45901</v>
      </c>
      <c r="O2" s="138"/>
      <c r="Q2" s="102" t="str">
        <f>F2</f>
        <v>PAGE:</v>
      </c>
      <c r="R2" s="1267" t="s">
        <v>90</v>
      </c>
      <c r="S2" s="1268"/>
      <c r="V2" s="144"/>
      <c r="W2" s="144"/>
      <c r="X2" s="144"/>
      <c r="Y2" s="144"/>
      <c r="Z2" s="144"/>
      <c r="AA2" s="144"/>
      <c r="AB2" s="144"/>
      <c r="AC2" s="144"/>
      <c r="AD2" s="144"/>
    </row>
    <row r="3" spans="2:30" s="6" customFormat="1" ht="12.5" x14ac:dyDescent="0.25">
      <c r="C3" s="139"/>
      <c r="D3" s="139"/>
      <c r="G3" s="140"/>
      <c r="H3" s="140"/>
      <c r="I3" s="140"/>
      <c r="J3" s="141"/>
      <c r="K3" s="140"/>
      <c r="L3" s="140"/>
      <c r="N3" s="139"/>
      <c r="O3" s="139"/>
      <c r="R3" s="1411"/>
      <c r="S3" s="1411"/>
      <c r="V3" s="142"/>
      <c r="W3" s="142"/>
      <c r="X3" s="142"/>
      <c r="Y3" s="142"/>
      <c r="Z3" s="142"/>
      <c r="AA3" s="142"/>
      <c r="AB3" s="142"/>
      <c r="AC3" s="142"/>
      <c r="AD3" s="142"/>
    </row>
    <row r="4" spans="2:30" s="678" customFormat="1" ht="12" customHeight="1" x14ac:dyDescent="0.35">
      <c r="B4" s="1214" t="s">
        <v>189</v>
      </c>
      <c r="C4" s="1214"/>
      <c r="D4" s="1214"/>
      <c r="E4" s="1214"/>
      <c r="F4" s="1214"/>
      <c r="G4" s="1214"/>
      <c r="H4" s="1214"/>
      <c r="I4" s="1214"/>
      <c r="J4" s="1214"/>
      <c r="K4" s="677"/>
      <c r="L4" s="677"/>
      <c r="M4" s="1214" t="s">
        <v>3</v>
      </c>
      <c r="N4" s="1214"/>
      <c r="O4" s="1214"/>
      <c r="P4" s="1214"/>
      <c r="Q4" s="1214"/>
      <c r="R4" s="1214"/>
      <c r="S4" s="1214"/>
      <c r="V4" s="679"/>
      <c r="W4" s="679"/>
      <c r="X4" s="679"/>
      <c r="Y4" s="679"/>
      <c r="Z4" s="679"/>
      <c r="AA4" s="679"/>
      <c r="AB4" s="679"/>
      <c r="AC4" s="679"/>
      <c r="AD4" s="679"/>
    </row>
    <row r="5" spans="2:30" s="678" customFormat="1" ht="12" customHeight="1" x14ac:dyDescent="0.35">
      <c r="B5" s="1214"/>
      <c r="C5" s="1214"/>
      <c r="D5" s="1214"/>
      <c r="E5" s="1214"/>
      <c r="F5" s="1214"/>
      <c r="G5" s="1214"/>
      <c r="H5" s="1214"/>
      <c r="I5" s="1214"/>
      <c r="J5" s="1214"/>
      <c r="K5" s="677"/>
      <c r="L5" s="677"/>
      <c r="M5" s="1214"/>
      <c r="N5" s="1214"/>
      <c r="O5" s="1214"/>
      <c r="P5" s="1214"/>
      <c r="Q5" s="1214"/>
      <c r="R5" s="1214"/>
      <c r="S5" s="1214"/>
      <c r="V5" s="679"/>
      <c r="W5" s="679"/>
      <c r="X5" s="679"/>
      <c r="Y5" s="679"/>
      <c r="Z5" s="679"/>
      <c r="AA5" s="679"/>
      <c r="AB5" s="679"/>
      <c r="AC5" s="679"/>
      <c r="AD5" s="679"/>
    </row>
    <row r="6" spans="2:30" s="143" customFormat="1" ht="12" customHeight="1" x14ac:dyDescent="0.3">
      <c r="B6" s="145"/>
      <c r="C6" s="145"/>
      <c r="D6" s="146"/>
      <c r="E6" s="145"/>
      <c r="F6" s="145"/>
      <c r="G6" s="145"/>
      <c r="H6" s="145"/>
      <c r="I6" s="145"/>
      <c r="J6" s="145"/>
      <c r="K6" s="145"/>
      <c r="L6" s="145"/>
      <c r="M6" s="147"/>
      <c r="N6" s="148"/>
      <c r="O6" s="149"/>
      <c r="P6" s="148"/>
      <c r="Q6" s="148"/>
      <c r="R6" s="148"/>
      <c r="S6" s="149"/>
      <c r="V6" s="144"/>
      <c r="W6" s="144"/>
      <c r="X6" s="144"/>
      <c r="Y6" s="144"/>
      <c r="Z6" s="144"/>
      <c r="AA6" s="144"/>
      <c r="AB6" s="144"/>
      <c r="AC6" s="144"/>
      <c r="AD6" s="144"/>
    </row>
    <row r="7" spans="2:30" s="152" customFormat="1" ht="12.5" x14ac:dyDescent="0.3">
      <c r="B7" s="391" t="str">
        <f>'SPOT EQUITY_7DAYS'!B6</f>
        <v>CLIENT'S NAME</v>
      </c>
      <c r="C7" s="392"/>
      <c r="D7" s="194" t="s">
        <v>5</v>
      </c>
      <c r="E7" s="1207" t="str">
        <f>FORM!I26</f>
        <v>buyer</v>
      </c>
      <c r="F7" s="1208"/>
      <c r="G7" s="1208"/>
      <c r="H7" s="1208"/>
      <c r="I7" s="1208"/>
      <c r="J7" s="1209"/>
      <c r="K7" s="151"/>
      <c r="L7" s="151"/>
      <c r="M7" s="391" t="str">
        <f>B7</f>
        <v>CLIENT'S NAME</v>
      </c>
      <c r="N7" s="392"/>
      <c r="O7" s="194" t="s">
        <v>5</v>
      </c>
      <c r="P7" s="1207" t="str">
        <f>E7</f>
        <v>buyer</v>
      </c>
      <c r="Q7" s="1208"/>
      <c r="R7" s="1208"/>
      <c r="S7" s="1209"/>
      <c r="V7" s="153"/>
      <c r="W7" s="153"/>
      <c r="X7" s="153"/>
      <c r="Y7" s="153"/>
      <c r="Z7" s="153"/>
      <c r="AA7" s="153"/>
      <c r="AB7" s="153"/>
      <c r="AC7" s="153"/>
      <c r="AD7" s="153"/>
    </row>
    <row r="8" spans="2:30" s="152" customFormat="1" ht="12.5" x14ac:dyDescent="0.3">
      <c r="B8" s="391" t="str">
        <f>'SPOT EQUITY_7DAYS'!B7</f>
        <v>PROJECT NAME</v>
      </c>
      <c r="C8" s="393"/>
      <c r="D8" s="194" t="s">
        <v>5</v>
      </c>
      <c r="E8" s="1207" t="str">
        <f>FORM!I11</f>
        <v>The Southprime Flats</v>
      </c>
      <c r="F8" s="1208"/>
      <c r="G8" s="1208"/>
      <c r="H8" s="1208"/>
      <c r="I8" s="1208"/>
      <c r="J8" s="1209"/>
      <c r="K8" s="151"/>
      <c r="L8" s="151"/>
      <c r="M8" s="391" t="str">
        <f>B8</f>
        <v>PROJECT NAME</v>
      </c>
      <c r="N8" s="393"/>
      <c r="O8" s="194" t="s">
        <v>5</v>
      </c>
      <c r="P8" s="1412" t="str">
        <f>E8</f>
        <v>The Southprime Flats</v>
      </c>
      <c r="Q8" s="1232"/>
      <c r="R8" s="1232"/>
      <c r="S8" s="1413"/>
      <c r="V8" s="153"/>
      <c r="W8" s="153"/>
      <c r="X8" s="153"/>
      <c r="Y8" s="153"/>
      <c r="Z8" s="153"/>
      <c r="AA8" s="153"/>
      <c r="AB8" s="153"/>
      <c r="AC8" s="153"/>
      <c r="AD8" s="153"/>
    </row>
    <row r="9" spans="2:30" s="152" customFormat="1" ht="12.75" customHeight="1" x14ac:dyDescent="0.3">
      <c r="B9" s="391" t="str">
        <f>'SPOT EQUITY_7DAYS'!B8</f>
        <v>PARKING SLOT NUMBER</v>
      </c>
      <c r="C9" s="393"/>
      <c r="D9" s="194" t="s">
        <v>5</v>
      </c>
      <c r="E9" s="1207" t="str">
        <f>'STANDARD COMP.'!E8</f>
        <v>GF-B1-12</v>
      </c>
      <c r="F9" s="1208"/>
      <c r="G9" s="1208"/>
      <c r="H9" s="1208"/>
      <c r="I9" s="1208"/>
      <c r="J9" s="1209"/>
      <c r="K9" s="151"/>
      <c r="L9" s="151"/>
      <c r="M9" s="391" t="str">
        <f>B9</f>
        <v>PARKING SLOT NUMBER</v>
      </c>
      <c r="N9" s="393"/>
      <c r="O9" s="194" t="s">
        <v>5</v>
      </c>
      <c r="P9" s="1207" t="str">
        <f>B9</f>
        <v>PARKING SLOT NUMBER</v>
      </c>
      <c r="Q9" s="1208"/>
      <c r="R9" s="1208"/>
      <c r="S9" s="1209"/>
      <c r="V9" s="153"/>
      <c r="W9" s="153"/>
      <c r="X9" s="153"/>
      <c r="Y9" s="153"/>
      <c r="Z9" s="153"/>
      <c r="AA9" s="153"/>
      <c r="AB9" s="153"/>
      <c r="AC9" s="153"/>
      <c r="AD9" s="153"/>
    </row>
    <row r="10" spans="2:30" s="155" customFormat="1" ht="12.5" x14ac:dyDescent="0.3">
      <c r="B10" s="391" t="str">
        <f>'SPOT EQUITY_7DAYS'!B9</f>
        <v>BUILDING</v>
      </c>
      <c r="C10" s="393"/>
      <c r="D10" s="194" t="s">
        <v>5</v>
      </c>
      <c r="E10" s="1207" t="str">
        <f>'STANDARD COMP.'!N9</f>
        <v>Building 1</v>
      </c>
      <c r="F10" s="1208"/>
      <c r="G10" s="1208"/>
      <c r="H10" s="1208"/>
      <c r="I10" s="1208"/>
      <c r="J10" s="1209"/>
      <c r="K10" s="154"/>
      <c r="L10" s="154"/>
      <c r="M10" s="204" t="s">
        <v>8</v>
      </c>
      <c r="N10" s="393"/>
      <c r="O10" s="194" t="s">
        <v>5</v>
      </c>
      <c r="P10" s="1412" t="str">
        <f t="shared" ref="P10:P12" si="0">E10</f>
        <v>Building 1</v>
      </c>
      <c r="Q10" s="1232"/>
      <c r="R10" s="1232"/>
      <c r="S10" s="1413"/>
      <c r="V10" s="153"/>
      <c r="W10" s="153"/>
      <c r="X10" s="153"/>
      <c r="Y10" s="153"/>
      <c r="Z10" s="153"/>
      <c r="AA10" s="153"/>
      <c r="AB10" s="153"/>
      <c r="AC10" s="153"/>
      <c r="AD10" s="153"/>
    </row>
    <row r="11" spans="2:30" s="155" customFormat="1" ht="12.5" x14ac:dyDescent="0.3">
      <c r="B11" s="204" t="str">
        <f>'SPOT EQUITY_7DAYS'!B10</f>
        <v>PARKING MODEL</v>
      </c>
      <c r="C11" s="393"/>
      <c r="D11" s="194" t="s">
        <v>5</v>
      </c>
      <c r="E11" s="1207" t="str">
        <f>'STANDARD COMP.'!E10</f>
        <v>Single Slot</v>
      </c>
      <c r="F11" s="1208"/>
      <c r="G11" s="1208"/>
      <c r="H11" s="1208"/>
      <c r="I11" s="1208"/>
      <c r="J11" s="1209"/>
      <c r="K11" s="154"/>
      <c r="L11" s="154"/>
      <c r="M11" s="204" t="str">
        <f>B11</f>
        <v>PARKING MODEL</v>
      </c>
      <c r="N11" s="393"/>
      <c r="O11" s="194" t="s">
        <v>5</v>
      </c>
      <c r="P11" s="1408" t="str">
        <f t="shared" si="0"/>
        <v>Single Slot</v>
      </c>
      <c r="Q11" s="1409"/>
      <c r="R11" s="1409"/>
      <c r="S11" s="1410"/>
      <c r="T11" s="156"/>
      <c r="V11" s="153"/>
      <c r="W11" s="153"/>
      <c r="X11" s="153"/>
      <c r="Y11" s="153"/>
      <c r="Z11" s="153"/>
      <c r="AA11" s="153"/>
      <c r="AB11" s="153"/>
      <c r="AC11" s="153"/>
      <c r="AD11" s="153"/>
    </row>
    <row r="12" spans="2:30" s="155" customFormat="1" ht="12.5" x14ac:dyDescent="0.3">
      <c r="B12" s="204" t="str">
        <f>'SPOT EQUITY_7DAYS'!B11</f>
        <v>TOTAL AREA</v>
      </c>
      <c r="C12" s="481"/>
      <c r="D12" s="194" t="s">
        <v>5</v>
      </c>
      <c r="E12" s="1217">
        <f>'STANDARD COMP.'!E11:F11</f>
        <v>13.5</v>
      </c>
      <c r="F12" s="1407"/>
      <c r="G12" s="395" t="s">
        <v>11</v>
      </c>
      <c r="H12" s="482"/>
      <c r="I12" s="395"/>
      <c r="J12" s="215"/>
      <c r="K12" s="154"/>
      <c r="L12" s="154"/>
      <c r="M12" s="204" t="str">
        <f>B12</f>
        <v>TOTAL AREA</v>
      </c>
      <c r="N12" s="393"/>
      <c r="O12" s="194" t="s">
        <v>5</v>
      </c>
      <c r="P12" s="1217">
        <f t="shared" si="0"/>
        <v>13.5</v>
      </c>
      <c r="Q12" s="1218"/>
      <c r="R12" s="395" t="s">
        <v>11</v>
      </c>
      <c r="S12" s="462"/>
      <c r="V12" s="153"/>
      <c r="W12" s="153"/>
      <c r="X12" s="153"/>
      <c r="Y12" s="153"/>
      <c r="Z12" s="153"/>
      <c r="AA12" s="153"/>
      <c r="AB12" s="153"/>
      <c r="AC12" s="153"/>
      <c r="AD12" s="153"/>
    </row>
    <row r="13" spans="2:30" s="158" customFormat="1" ht="13" x14ac:dyDescent="0.3">
      <c r="B13" s="123"/>
      <c r="C13" s="123"/>
      <c r="D13" s="194"/>
      <c r="E13" s="123"/>
      <c r="F13" s="123"/>
      <c r="G13" s="123"/>
      <c r="H13" s="123"/>
      <c r="I13" s="123"/>
      <c r="J13" s="123"/>
      <c r="K13" s="157"/>
      <c r="L13" s="157"/>
      <c r="M13" s="123"/>
      <c r="N13" s="123"/>
      <c r="O13" s="259"/>
      <c r="P13" s="123"/>
      <c r="Q13" s="123"/>
      <c r="R13" s="123"/>
      <c r="S13" s="123"/>
      <c r="V13" s="144"/>
      <c r="W13" s="144"/>
      <c r="X13" s="144"/>
      <c r="Y13" s="144"/>
      <c r="Z13" s="144"/>
      <c r="AA13" s="144"/>
      <c r="AB13" s="144"/>
      <c r="AC13" s="144"/>
      <c r="AD13" s="144"/>
    </row>
    <row r="14" spans="2:30" s="158" customFormat="1" ht="15" customHeight="1" x14ac:dyDescent="0.3">
      <c r="B14" s="198" t="s">
        <v>16</v>
      </c>
      <c r="C14" s="396"/>
      <c r="D14" s="200" t="s">
        <v>5</v>
      </c>
      <c r="E14" s="613"/>
      <c r="F14" s="1400">
        <f>'STANDARD COMP.'!F13</f>
        <v>832787.56226250005</v>
      </c>
      <c r="G14" s="1264"/>
      <c r="H14" s="1264"/>
      <c r="I14" s="1264"/>
      <c r="J14" s="1265"/>
      <c r="K14" s="160"/>
      <c r="L14" s="160"/>
      <c r="M14" s="1221" t="s">
        <v>12</v>
      </c>
      <c r="N14" s="1221"/>
      <c r="O14" s="1222" t="s">
        <v>13</v>
      </c>
      <c r="P14" s="1221" t="s">
        <v>14</v>
      </c>
      <c r="Q14" s="1221"/>
      <c r="R14" s="1224" t="s">
        <v>15</v>
      </c>
      <c r="S14" s="1225"/>
      <c r="V14" s="144"/>
      <c r="W14" s="144"/>
      <c r="X14" s="144"/>
      <c r="Y14" s="144"/>
      <c r="Z14" s="144"/>
      <c r="AA14" s="144"/>
      <c r="AB14" s="144"/>
      <c r="AC14" s="144"/>
      <c r="AD14" s="144"/>
    </row>
    <row r="15" spans="2:30" s="161" customFormat="1" ht="13" x14ac:dyDescent="0.3">
      <c r="B15" s="391" t="s">
        <v>190</v>
      </c>
      <c r="C15" s="392"/>
      <c r="D15" s="194" t="s">
        <v>5</v>
      </c>
      <c r="E15" s="478">
        <v>0.05</v>
      </c>
      <c r="F15" s="1406">
        <f>(F14-F16)*E24*E15</f>
        <v>6245.9067169687505</v>
      </c>
      <c r="G15" s="1275"/>
      <c r="H15" s="1275"/>
      <c r="I15" s="1275"/>
      <c r="J15" s="1276"/>
      <c r="K15" s="157"/>
      <c r="L15" s="157"/>
      <c r="M15" s="1221"/>
      <c r="N15" s="1221"/>
      <c r="O15" s="1222"/>
      <c r="P15" s="1221"/>
      <c r="Q15" s="1221"/>
      <c r="R15" s="1226"/>
      <c r="S15" s="1227"/>
      <c r="V15" s="162"/>
      <c r="W15" s="162"/>
      <c r="X15" s="162"/>
      <c r="Y15" s="162"/>
      <c r="Z15" s="162"/>
      <c r="AA15" s="162"/>
      <c r="AB15" s="162"/>
      <c r="AC15" s="162"/>
      <c r="AD15" s="162"/>
    </row>
    <row r="16" spans="2:30" s="158" customFormat="1" ht="13" x14ac:dyDescent="0.3">
      <c r="B16" s="204" t="s">
        <v>167</v>
      </c>
      <c r="C16" s="213"/>
      <c r="D16" s="194" t="s">
        <v>5</v>
      </c>
      <c r="E16" s="613"/>
      <c r="F16" s="1406">
        <f>'STANDARD COMP.'!F14:I14</f>
        <v>0</v>
      </c>
      <c r="G16" s="1275"/>
      <c r="H16" s="1275"/>
      <c r="I16" s="1275"/>
      <c r="J16" s="1276"/>
      <c r="K16" s="160"/>
      <c r="L16" s="160"/>
      <c r="M16" s="1205" t="s">
        <v>17</v>
      </c>
      <c r="N16" s="1205"/>
      <c r="O16" s="463">
        <f>C2</f>
        <v>45901</v>
      </c>
      <c r="P16" s="1223">
        <f>FORM!I22</f>
        <v>10000</v>
      </c>
      <c r="Q16" s="1223"/>
      <c r="R16" s="1189"/>
      <c r="S16" s="1190"/>
      <c r="V16" s="144"/>
      <c r="W16" s="144"/>
      <c r="X16" s="144"/>
      <c r="Y16" s="144"/>
      <c r="Z16" s="144"/>
      <c r="AA16" s="144"/>
      <c r="AB16" s="144"/>
      <c r="AC16" s="144"/>
      <c r="AD16" s="144"/>
    </row>
    <row r="17" spans="1:30" s="161" customFormat="1" ht="13" x14ac:dyDescent="0.3">
      <c r="B17" s="171" t="s">
        <v>19</v>
      </c>
      <c r="C17" s="130"/>
      <c r="D17" s="200" t="s">
        <v>5</v>
      </c>
      <c r="E17" s="614"/>
      <c r="F17" s="1400">
        <f>F14-F15-F16</f>
        <v>826541.65554553131</v>
      </c>
      <c r="G17" s="1264"/>
      <c r="H17" s="1264"/>
      <c r="I17" s="1264"/>
      <c r="J17" s="1265"/>
      <c r="K17" s="157"/>
      <c r="L17" s="157"/>
      <c r="M17" s="1205" t="s">
        <v>75</v>
      </c>
      <c r="N17" s="1205"/>
      <c r="O17" s="463">
        <f>O16+30</f>
        <v>45931</v>
      </c>
      <c r="P17" s="1223">
        <f>F26</f>
        <v>141350.81156558674</v>
      </c>
      <c r="Q17" s="1223"/>
      <c r="R17" s="1189"/>
      <c r="S17" s="1190"/>
      <c r="V17" s="162"/>
      <c r="W17" s="162"/>
      <c r="X17" s="162"/>
      <c r="Y17" s="162"/>
      <c r="Z17" s="162"/>
      <c r="AA17" s="162"/>
      <c r="AB17" s="162"/>
      <c r="AC17" s="162"/>
      <c r="AD17" s="162"/>
    </row>
    <row r="18" spans="1:30" s="158" customFormat="1" ht="13" x14ac:dyDescent="0.3">
      <c r="B18" s="210"/>
      <c r="C18" s="123"/>
      <c r="D18" s="194"/>
      <c r="E18" s="123"/>
      <c r="F18" s="212"/>
      <c r="G18" s="212"/>
      <c r="H18" s="212"/>
      <c r="I18" s="123"/>
      <c r="J18" s="123"/>
      <c r="K18" s="157"/>
      <c r="L18" s="157"/>
      <c r="M18" s="1243" t="s">
        <v>72</v>
      </c>
      <c r="N18" s="1243"/>
      <c r="O18" s="464">
        <f>IF(AND(DAY(U1)&gt;=6,DAY(U1)&lt;=20),DATE(YEAR(U1),MONTH(U1)+1,DAY(20)),IF(AND(DAY(U1)&gt;=21,DAY(U1)&lt;=30),DATE(YEAR(U1),MONTH(U1)+1,IF(DAY(EOMONTH(U1,1))&lt;30,DAY(EOMONTH(U1,1)),DAY(30))),DATE(YEAR(U1),MONTH(U1)+1,DAY(5))))</f>
        <v>45966</v>
      </c>
      <c r="P18" s="1384">
        <f>F28</f>
        <v>857654.59887165821</v>
      </c>
      <c r="Q18" s="1384"/>
      <c r="R18" s="1378"/>
      <c r="S18" s="1379"/>
      <c r="V18" s="144"/>
      <c r="W18" s="144"/>
      <c r="X18" s="1401" t="s">
        <v>20</v>
      </c>
      <c r="Y18" s="1401"/>
      <c r="Z18" s="144"/>
      <c r="AA18" s="144"/>
      <c r="AB18" s="144"/>
      <c r="AC18" s="144"/>
      <c r="AD18" s="144"/>
    </row>
    <row r="19" spans="1:30" s="158" customFormat="1" ht="13" x14ac:dyDescent="0.3">
      <c r="B19" s="213" t="s">
        <v>23</v>
      </c>
      <c r="C19" s="213"/>
      <c r="D19" s="194" t="s">
        <v>5</v>
      </c>
      <c r="E19" s="214">
        <v>0.12</v>
      </c>
      <c r="F19" s="1274">
        <f>F17*0.12</f>
        <v>99184.998665463747</v>
      </c>
      <c r="G19" s="1275"/>
      <c r="H19" s="1403"/>
      <c r="I19" s="395"/>
      <c r="J19" s="215"/>
      <c r="K19" s="157"/>
      <c r="L19" s="157"/>
      <c r="M19" s="1247"/>
      <c r="N19" s="1247"/>
      <c r="O19" s="490"/>
      <c r="P19" s="1405"/>
      <c r="Q19" s="1405"/>
      <c r="R19" s="123"/>
      <c r="S19" s="123"/>
      <c r="T19" s="144"/>
      <c r="U19" s="144"/>
      <c r="V19" s="144"/>
      <c r="W19" s="144"/>
    </row>
    <row r="20" spans="1:30" s="158" customFormat="1" ht="13" x14ac:dyDescent="0.3">
      <c r="B20" s="410" t="s">
        <v>25</v>
      </c>
      <c r="C20" s="166"/>
      <c r="D20" s="194" t="s">
        <v>5</v>
      </c>
      <c r="E20" s="615">
        <v>0.1</v>
      </c>
      <c r="F20" s="1274">
        <f>E20*F14</f>
        <v>83278.756226250014</v>
      </c>
      <c r="G20" s="1275"/>
      <c r="H20" s="1403"/>
      <c r="I20" s="395"/>
      <c r="J20" s="215"/>
      <c r="K20" s="157"/>
      <c r="L20" s="157"/>
      <c r="M20" s="200"/>
      <c r="N20" s="200"/>
      <c r="O20" s="491"/>
      <c r="P20" s="492"/>
      <c r="Q20" s="492"/>
      <c r="R20" s="125"/>
      <c r="S20" s="125"/>
      <c r="T20" s="144"/>
      <c r="U20" s="144"/>
      <c r="V20" s="144"/>
      <c r="W20" s="144"/>
    </row>
    <row r="21" spans="1:30" s="158" customFormat="1" ht="13" x14ac:dyDescent="0.3">
      <c r="B21" s="210"/>
      <c r="C21" s="123"/>
      <c r="D21" s="194"/>
      <c r="E21" s="123"/>
      <c r="F21" s="212"/>
      <c r="G21" s="212"/>
      <c r="H21" s="483"/>
      <c r="I21" s="123"/>
      <c r="J21" s="123"/>
      <c r="K21" s="157"/>
      <c r="L21" s="157"/>
      <c r="M21" s="122"/>
      <c r="N21" s="122"/>
      <c r="O21" s="122"/>
      <c r="P21" s="122"/>
      <c r="Q21" s="122"/>
      <c r="R21" s="122"/>
      <c r="S21" s="122"/>
      <c r="T21" s="144"/>
      <c r="U21" s="144"/>
      <c r="V21" s="144"/>
      <c r="W21" s="144"/>
    </row>
    <row r="22" spans="1:30" s="158" customFormat="1" ht="13" x14ac:dyDescent="0.3">
      <c r="B22" s="171" t="s">
        <v>28</v>
      </c>
      <c r="C22" s="130"/>
      <c r="D22" s="200" t="s">
        <v>5</v>
      </c>
      <c r="E22" s="411"/>
      <c r="F22" s="1229">
        <f>F17+F19+F20</f>
        <v>1009005.410437245</v>
      </c>
      <c r="G22" s="1230"/>
      <c r="H22" s="1230"/>
      <c r="I22" s="1230"/>
      <c r="J22" s="1231"/>
      <c r="K22" s="160"/>
      <c r="L22" s="160"/>
      <c r="M22" s="122"/>
      <c r="N22" s="122"/>
      <c r="O22" s="122"/>
      <c r="P22" s="122"/>
      <c r="Q22" s="122"/>
      <c r="R22" s="122"/>
      <c r="S22" s="122"/>
      <c r="T22" s="144"/>
      <c r="U22" s="144"/>
      <c r="V22" s="144"/>
      <c r="W22" s="144"/>
    </row>
    <row r="23" spans="1:30" s="158" customFormat="1" ht="13" x14ac:dyDescent="0.3">
      <c r="B23" s="210"/>
      <c r="C23" s="123"/>
      <c r="D23" s="194"/>
      <c r="E23" s="484"/>
      <c r="F23" s="212"/>
      <c r="G23" s="212"/>
      <c r="H23" s="483"/>
      <c r="I23" s="123"/>
      <c r="J23" s="123"/>
      <c r="K23" s="157"/>
      <c r="L23" s="157"/>
      <c r="M23" s="125" t="s">
        <v>70</v>
      </c>
      <c r="N23" s="125"/>
      <c r="O23" s="125"/>
      <c r="P23" s="125"/>
      <c r="Q23" s="122"/>
      <c r="R23" s="125" t="s">
        <v>71</v>
      </c>
      <c r="S23" s="125"/>
      <c r="T23" s="144"/>
      <c r="U23" s="144"/>
      <c r="V23" s="144"/>
      <c r="W23" s="144"/>
    </row>
    <row r="24" spans="1:30" s="158" customFormat="1" ht="13" x14ac:dyDescent="0.3">
      <c r="A24" s="161"/>
      <c r="B24" s="198" t="s">
        <v>78</v>
      </c>
      <c r="C24" s="392"/>
      <c r="D24" s="200" t="s">
        <v>5</v>
      </c>
      <c r="E24" s="485">
        <f>'STANDARD COMP.'!E22</f>
        <v>0.15</v>
      </c>
      <c r="F24" s="1266">
        <f>F22*E24</f>
        <v>151350.81156558674</v>
      </c>
      <c r="G24" s="1264"/>
      <c r="H24" s="1404"/>
      <c r="I24" s="486"/>
      <c r="J24" s="202"/>
      <c r="K24" s="160"/>
      <c r="L24" s="160"/>
      <c r="M24" s="123"/>
      <c r="N24" s="123"/>
      <c r="O24" s="194"/>
      <c r="P24" s="123"/>
      <c r="Q24" s="123"/>
      <c r="R24" s="123"/>
      <c r="S24" s="123"/>
      <c r="T24" s="144"/>
      <c r="U24" s="144"/>
      <c r="V24" s="144"/>
      <c r="W24" s="144"/>
    </row>
    <row r="25" spans="1:30" s="161" customFormat="1" ht="13" x14ac:dyDescent="0.3">
      <c r="B25" s="391" t="s">
        <v>224</v>
      </c>
      <c r="C25" s="396"/>
      <c r="D25" s="194" t="s">
        <v>5</v>
      </c>
      <c r="E25" s="487"/>
      <c r="F25" s="1274">
        <f>'STANDARD COMP.'!F23</f>
        <v>10000</v>
      </c>
      <c r="G25" s="1275"/>
      <c r="H25" s="1403"/>
      <c r="I25" s="486"/>
      <c r="J25" s="202"/>
      <c r="K25" s="160"/>
      <c r="L25" s="160"/>
      <c r="M25" s="125"/>
      <c r="N25" s="125"/>
      <c r="O25" s="200"/>
      <c r="P25" s="125"/>
      <c r="Q25" s="125"/>
      <c r="R25" s="125"/>
      <c r="S25" s="125"/>
      <c r="T25" s="162"/>
      <c r="U25" s="162"/>
      <c r="V25" s="162"/>
      <c r="W25" s="162"/>
    </row>
    <row r="26" spans="1:30" s="161" customFormat="1" ht="13" x14ac:dyDescent="0.3">
      <c r="A26" s="158"/>
      <c r="B26" s="171" t="s">
        <v>77</v>
      </c>
      <c r="C26" s="130"/>
      <c r="D26" s="200" t="s">
        <v>5</v>
      </c>
      <c r="E26" s="488"/>
      <c r="F26" s="1266">
        <f>F24-F25</f>
        <v>141350.81156558674</v>
      </c>
      <c r="G26" s="1264"/>
      <c r="H26" s="1404"/>
      <c r="I26" s="486"/>
      <c r="J26" s="202"/>
      <c r="K26" s="157"/>
      <c r="L26" s="157"/>
      <c r="M26" s="1234" t="str">
        <f>FORM!I28</f>
        <v>selller</v>
      </c>
      <c r="N26" s="1234"/>
      <c r="O26" s="246"/>
      <c r="P26" s="125"/>
      <c r="Q26" s="125"/>
      <c r="R26" s="1234" t="str">
        <f>FORM!I26</f>
        <v>buyer</v>
      </c>
      <c r="S26" s="1234"/>
      <c r="T26" s="162"/>
      <c r="U26" s="162"/>
      <c r="V26" s="162"/>
      <c r="W26" s="162"/>
    </row>
    <row r="27" spans="1:30" s="158" customFormat="1" ht="13" x14ac:dyDescent="0.3">
      <c r="A27" s="161"/>
      <c r="B27" s="210"/>
      <c r="C27" s="123"/>
      <c r="D27" s="194"/>
      <c r="E27" s="194"/>
      <c r="F27" s="1266"/>
      <c r="G27" s="1264"/>
      <c r="H27" s="1404"/>
      <c r="I27" s="486"/>
      <c r="J27" s="202"/>
      <c r="K27" s="160"/>
      <c r="L27" s="160"/>
      <c r="M27" s="134" t="s">
        <v>73</v>
      </c>
      <c r="N27" s="134"/>
      <c r="O27" s="194"/>
      <c r="P27" s="123"/>
      <c r="Q27" s="123"/>
      <c r="R27" s="134" t="s">
        <v>74</v>
      </c>
      <c r="S27" s="247"/>
      <c r="T27" s="144"/>
      <c r="U27" s="144"/>
      <c r="V27" s="144"/>
      <c r="W27" s="144"/>
    </row>
    <row r="28" spans="1:30" s="161" customFormat="1" x14ac:dyDescent="0.3">
      <c r="A28" s="158"/>
      <c r="B28" s="171" t="s">
        <v>44</v>
      </c>
      <c r="C28" s="130"/>
      <c r="D28" s="200" t="s">
        <v>5</v>
      </c>
      <c r="E28" s="489">
        <f>100%-E24</f>
        <v>0.85</v>
      </c>
      <c r="F28" s="1266">
        <f>F22*E28</f>
        <v>857654.59887165821</v>
      </c>
      <c r="G28" s="1264"/>
      <c r="H28" s="1404"/>
      <c r="I28" s="395"/>
      <c r="J28" s="215"/>
      <c r="K28" s="157"/>
      <c r="L28" s="157"/>
      <c r="M28" s="168"/>
      <c r="N28" s="168"/>
      <c r="O28" s="168"/>
      <c r="P28" s="168"/>
      <c r="Q28" s="168"/>
      <c r="R28" s="168"/>
      <c r="S28" s="168"/>
      <c r="T28" s="162"/>
      <c r="U28" s="162"/>
      <c r="V28" s="162"/>
      <c r="W28" s="162"/>
    </row>
    <row r="29" spans="1:30" s="158" customFormat="1" x14ac:dyDescent="0.35">
      <c r="B29" s="163"/>
      <c r="C29" s="157"/>
      <c r="D29" s="164"/>
      <c r="E29" s="157"/>
      <c r="F29" s="165"/>
      <c r="G29" s="157"/>
      <c r="H29" s="157"/>
      <c r="I29" s="157"/>
      <c r="J29" s="157"/>
      <c r="K29" s="160"/>
      <c r="L29" s="160"/>
      <c r="M29"/>
      <c r="N29"/>
      <c r="O29" s="136"/>
      <c r="P29"/>
      <c r="Q29"/>
      <c r="R29"/>
      <c r="S29"/>
      <c r="T29" s="144"/>
      <c r="U29" s="144"/>
      <c r="V29" s="144"/>
      <c r="W29" s="144"/>
    </row>
    <row r="30" spans="1:30" s="161" customFormat="1" x14ac:dyDescent="0.35">
      <c r="A30" s="158"/>
      <c r="B30" s="145"/>
      <c r="C30" s="157"/>
      <c r="D30" s="164"/>
      <c r="E30" s="157"/>
      <c r="F30" s="157"/>
      <c r="G30" s="157"/>
      <c r="H30" s="157"/>
      <c r="I30" s="157"/>
      <c r="J30" s="157"/>
      <c r="K30" s="157"/>
      <c r="L30" s="157"/>
      <c r="M30"/>
      <c r="N30"/>
      <c r="O30" s="136"/>
      <c r="P30"/>
      <c r="Q30"/>
      <c r="R30"/>
      <c r="S30"/>
      <c r="T30" s="162"/>
      <c r="U30" s="162"/>
      <c r="V30" s="162"/>
      <c r="W30" s="162"/>
    </row>
    <row r="31" spans="1:30" s="158" customFormat="1" x14ac:dyDescent="0.35">
      <c r="B31" s="130" t="s">
        <v>48</v>
      </c>
      <c r="C31" s="166"/>
      <c r="D31" s="167"/>
      <c r="E31" s="113"/>
      <c r="F31" s="113"/>
      <c r="G31" s="113"/>
      <c r="H31" s="113"/>
      <c r="I31" s="113"/>
      <c r="J31" s="113"/>
      <c r="K31" s="157"/>
      <c r="L31" s="157"/>
      <c r="M31"/>
      <c r="N31"/>
      <c r="O31" s="136"/>
      <c r="P31"/>
      <c r="Q31"/>
      <c r="R31"/>
      <c r="S31"/>
      <c r="T31" s="144"/>
      <c r="U31" s="144"/>
      <c r="V31" s="144"/>
      <c r="W31" s="144"/>
    </row>
    <row r="32" spans="1:30" s="158" customFormat="1" x14ac:dyDescent="0.35">
      <c r="B32" s="145"/>
      <c r="C32" s="157"/>
      <c r="D32" s="164"/>
      <c r="E32" s="157"/>
      <c r="F32" s="157"/>
      <c r="G32" s="157"/>
      <c r="H32" s="157"/>
      <c r="I32" s="157"/>
      <c r="J32" s="157"/>
      <c r="K32" s="160"/>
      <c r="L32" s="160"/>
      <c r="M32"/>
      <c r="N32"/>
      <c r="O32" s="136"/>
      <c r="P32"/>
      <c r="Q32"/>
      <c r="R32"/>
      <c r="S32"/>
      <c r="T32" s="144"/>
      <c r="U32" s="144"/>
      <c r="V32" s="144"/>
      <c r="W32" s="144"/>
    </row>
    <row r="33" spans="1:23" s="161" customFormat="1" x14ac:dyDescent="0.35">
      <c r="A33" s="158"/>
      <c r="B33" s="373" t="s">
        <v>51</v>
      </c>
      <c r="C33" s="373" t="s">
        <v>52</v>
      </c>
      <c r="D33" s="373" t="s">
        <v>53</v>
      </c>
      <c r="E33" s="373" t="s">
        <v>54</v>
      </c>
      <c r="F33" s="1221" t="s">
        <v>79</v>
      </c>
      <c r="G33" s="1221"/>
      <c r="H33" s="1221"/>
      <c r="I33" s="1221"/>
      <c r="J33" s="1221"/>
      <c r="K33" s="157"/>
      <c r="L33" s="157"/>
      <c r="M33"/>
      <c r="N33"/>
      <c r="O33" s="136"/>
      <c r="P33"/>
      <c r="Q33"/>
      <c r="R33"/>
      <c r="S33"/>
      <c r="T33" s="162"/>
      <c r="U33" s="162"/>
      <c r="V33" s="162"/>
      <c r="W33" s="162"/>
    </row>
    <row r="34" spans="1:23" s="158" customFormat="1" x14ac:dyDescent="0.35">
      <c r="B34" s="424">
        <v>5</v>
      </c>
      <c r="C34" s="760">
        <f>'STANDARD COMP.'!C33</f>
        <v>7.0000000000000007E-2</v>
      </c>
      <c r="D34" s="425">
        <f>PMT(C34/12,B34*12,-1)</f>
        <v>1.9801198540349535E-2</v>
      </c>
      <c r="E34" s="426">
        <f>F28*D34</f>
        <v>16982.588991301545</v>
      </c>
      <c r="F34" s="1223">
        <f>E34/0.3</f>
        <v>56608.629971005153</v>
      </c>
      <c r="G34" s="1223"/>
      <c r="H34" s="1223"/>
      <c r="I34" s="1223"/>
      <c r="J34" s="1223"/>
      <c r="K34" s="157"/>
      <c r="L34" s="157"/>
      <c r="M34"/>
      <c r="N34"/>
      <c r="O34" s="136"/>
      <c r="P34"/>
      <c r="Q34"/>
      <c r="R34"/>
      <c r="S34"/>
      <c r="T34" s="144"/>
      <c r="U34" s="144"/>
      <c r="V34" s="144"/>
      <c r="W34" s="144"/>
    </row>
    <row r="35" spans="1:23" s="158" customFormat="1" x14ac:dyDescent="0.35">
      <c r="B35" s="424">
        <v>10</v>
      </c>
      <c r="C35" s="760">
        <f>'STANDARD COMP.'!C34</f>
        <v>7.0000000000000007E-2</v>
      </c>
      <c r="D35" s="425">
        <f>PMT(C35/12,B35*12,-1)</f>
        <v>1.1610847921862406E-2</v>
      </c>
      <c r="E35" s="426">
        <f>F28*D35</f>
        <v>9958.0971169847289</v>
      </c>
      <c r="F35" s="1223">
        <f t="shared" ref="F35" si="1">E35/0.3</f>
        <v>33193.657056615768</v>
      </c>
      <c r="G35" s="1223"/>
      <c r="H35" s="1223"/>
      <c r="I35" s="1223"/>
      <c r="J35" s="1223"/>
      <c r="K35" s="157"/>
      <c r="L35" s="157"/>
      <c r="M35"/>
      <c r="N35"/>
      <c r="O35" s="136"/>
      <c r="P35"/>
      <c r="Q35"/>
      <c r="R35"/>
      <c r="S35"/>
      <c r="T35" s="144"/>
      <c r="U35" s="144"/>
      <c r="V35" s="144"/>
      <c r="W35" s="144"/>
    </row>
    <row r="36" spans="1:23" s="158" customFormat="1" x14ac:dyDescent="0.35">
      <c r="B36" s="424">
        <v>15</v>
      </c>
      <c r="C36" s="760">
        <f>'STANDARD COMP.'!C35</f>
        <v>7.0000000000000007E-2</v>
      </c>
      <c r="D36" s="425">
        <f t="shared" ref="D36" si="2">PMT(C36/12,B36*12,-1)</f>
        <v>8.988282708524269E-3</v>
      </c>
      <c r="E36" s="426">
        <f>F28*D36</f>
        <v>7708.8420009244437</v>
      </c>
      <c r="F36" s="1223">
        <f>E36/0.3</f>
        <v>25696.14000308148</v>
      </c>
      <c r="G36" s="1223"/>
      <c r="H36" s="1223"/>
      <c r="I36" s="1223"/>
      <c r="J36" s="1223"/>
      <c r="K36" s="157"/>
      <c r="L36" s="157"/>
      <c r="M36"/>
      <c r="N36"/>
      <c r="O36" s="136"/>
      <c r="P36"/>
      <c r="Q36"/>
      <c r="R36"/>
      <c r="S36"/>
      <c r="T36" s="144"/>
      <c r="U36" s="144"/>
      <c r="V36" s="144"/>
      <c r="W36" s="144"/>
    </row>
    <row r="37" spans="1:23" s="158" customFormat="1" x14ac:dyDescent="0.35">
      <c r="B37" s="424">
        <v>20</v>
      </c>
      <c r="C37" s="760">
        <f>'STANDARD COMP.'!C36</f>
        <v>7.0000000000000007E-2</v>
      </c>
      <c r="D37" s="425">
        <f t="shared" ref="D37" si="3">PMT(C37/12,B37*12,-1)</f>
        <v>7.7529893561887461E-3</v>
      </c>
      <c r="E37" s="426">
        <f>F28*D37</f>
        <v>6649.3869763382945</v>
      </c>
      <c r="F37" s="1223">
        <f>E37/0.3</f>
        <v>22164.623254460981</v>
      </c>
      <c r="G37" s="1223"/>
      <c r="H37" s="1223"/>
      <c r="I37" s="1223"/>
      <c r="J37" s="1223"/>
      <c r="K37" s="157"/>
      <c r="L37" s="157"/>
      <c r="M37"/>
      <c r="N37"/>
      <c r="O37" s="136"/>
      <c r="P37"/>
      <c r="Q37"/>
      <c r="R37"/>
      <c r="S37"/>
      <c r="T37" s="144"/>
      <c r="U37" s="144"/>
      <c r="V37" s="144"/>
      <c r="W37" s="144"/>
    </row>
    <row r="38" spans="1:23" s="158" customFormat="1" x14ac:dyDescent="0.35">
      <c r="B38" s="898" t="str">
        <f>'STANDARD COMP.'!B37</f>
        <v>Fixed for three (3) years</v>
      </c>
      <c r="C38" s="157"/>
      <c r="D38" s="157"/>
      <c r="E38" s="157"/>
      <c r="F38" s="157"/>
      <c r="G38" s="157"/>
      <c r="H38" s="157"/>
      <c r="I38" s="157"/>
      <c r="J38" s="157"/>
      <c r="K38" s="157"/>
      <c r="L38" s="157"/>
      <c r="M38"/>
      <c r="N38"/>
      <c r="O38" s="136"/>
      <c r="P38"/>
      <c r="Q38"/>
      <c r="R38"/>
      <c r="S38"/>
      <c r="T38" s="144"/>
      <c r="U38" s="144"/>
      <c r="V38" s="144"/>
      <c r="W38" s="144"/>
    </row>
    <row r="39" spans="1:23" s="158" customFormat="1" x14ac:dyDescent="0.35">
      <c r="B39" s="898" t="str">
        <f>'STANDARD COMP.'!B38</f>
        <v>Sample Computation for Interest rate is at 7% fixed for three (3) years only</v>
      </c>
      <c r="C39" s="168"/>
      <c r="D39" s="169"/>
      <c r="E39" s="168"/>
      <c r="F39" s="168"/>
      <c r="G39" s="157"/>
      <c r="H39" s="157"/>
      <c r="I39" s="157"/>
      <c r="J39" s="157"/>
      <c r="K39" s="157"/>
      <c r="L39" s="157"/>
      <c r="M39"/>
      <c r="N39"/>
      <c r="O39" s="136"/>
      <c r="P39"/>
      <c r="Q39"/>
      <c r="R39"/>
      <c r="S39"/>
      <c r="T39" s="144"/>
      <c r="U39" s="144"/>
      <c r="V39" s="144"/>
      <c r="W39" s="144"/>
    </row>
    <row r="40" spans="1:23" s="158" customFormat="1" x14ac:dyDescent="0.35">
      <c r="B40" s="129" t="s">
        <v>63</v>
      </c>
      <c r="C40" s="168"/>
      <c r="D40" s="169"/>
      <c r="E40" s="168"/>
      <c r="F40" s="168"/>
      <c r="G40" s="157"/>
      <c r="H40" s="157"/>
      <c r="I40" s="157"/>
      <c r="J40" s="157"/>
      <c r="K40" s="157"/>
      <c r="L40" s="157"/>
      <c r="M40"/>
      <c r="N40"/>
      <c r="O40" s="136"/>
      <c r="P40"/>
      <c r="Q40"/>
      <c r="R40"/>
      <c r="S40"/>
      <c r="T40" s="144"/>
      <c r="U40" s="144"/>
      <c r="V40" s="144"/>
      <c r="W40" s="144"/>
    </row>
    <row r="41" spans="1:23" s="158" customFormat="1" x14ac:dyDescent="0.35">
      <c r="B41" s="129" t="s">
        <v>65</v>
      </c>
      <c r="C41" s="170"/>
      <c r="D41" s="164"/>
      <c r="E41" s="157"/>
      <c r="F41" s="157"/>
      <c r="G41" s="157"/>
      <c r="H41" s="157"/>
      <c r="I41" s="157"/>
      <c r="J41" s="157"/>
      <c r="K41" s="157"/>
      <c r="L41" s="157"/>
      <c r="M41"/>
      <c r="N41"/>
      <c r="O41" s="136"/>
      <c r="P41"/>
      <c r="Q41"/>
      <c r="R41"/>
      <c r="S41"/>
      <c r="T41" s="144"/>
      <c r="U41" s="144"/>
      <c r="V41" s="144"/>
      <c r="W41" s="144"/>
    </row>
    <row r="42" spans="1:23" s="158" customFormat="1" x14ac:dyDescent="0.35">
      <c r="C42" s="157"/>
      <c r="D42" s="164"/>
      <c r="E42" s="157"/>
      <c r="F42" s="157"/>
      <c r="G42" s="157"/>
      <c r="H42" s="157"/>
      <c r="I42" s="157"/>
      <c r="J42" s="157"/>
      <c r="K42" s="157"/>
      <c r="L42" s="157"/>
      <c r="M42"/>
      <c r="N42"/>
      <c r="O42" s="136"/>
      <c r="P42"/>
      <c r="Q42"/>
      <c r="R42"/>
      <c r="S42"/>
      <c r="T42" s="144"/>
      <c r="U42" s="144"/>
      <c r="V42" s="144"/>
      <c r="W42" s="144"/>
    </row>
    <row r="43" spans="1:23" s="158" customFormat="1" x14ac:dyDescent="0.35">
      <c r="C43" s="157"/>
      <c r="D43" s="164"/>
      <c r="E43" s="157"/>
      <c r="F43" s="157"/>
      <c r="G43" s="168"/>
      <c r="H43" s="168"/>
      <c r="I43" s="168"/>
      <c r="J43" s="157"/>
      <c r="K43" s="157"/>
      <c r="L43" s="157"/>
      <c r="M43"/>
      <c r="N43"/>
      <c r="O43" s="136"/>
      <c r="P43"/>
      <c r="Q43"/>
      <c r="R43"/>
      <c r="S43"/>
      <c r="T43" s="144"/>
      <c r="U43" s="144"/>
      <c r="V43" s="144"/>
      <c r="W43" s="144"/>
    </row>
    <row r="44" spans="1:23" s="158" customFormat="1" x14ac:dyDescent="0.35">
      <c r="B44" s="171" t="s">
        <v>202</v>
      </c>
      <c r="C44" s="172"/>
      <c r="D44" s="173"/>
      <c r="E44" s="173"/>
      <c r="F44" s="173"/>
      <c r="G44" s="173"/>
      <c r="H44" s="173"/>
      <c r="I44" s="173"/>
      <c r="J44" s="173"/>
      <c r="K44" s="157"/>
      <c r="L44" s="157"/>
      <c r="M44"/>
      <c r="N44"/>
      <c r="O44" s="136"/>
      <c r="P44"/>
      <c r="Q44"/>
      <c r="R44"/>
      <c r="S44"/>
      <c r="T44" s="144"/>
      <c r="U44" s="144"/>
      <c r="V44" s="144"/>
      <c r="W44" s="144"/>
    </row>
    <row r="45" spans="1:23" s="158" customFormat="1" x14ac:dyDescent="0.35">
      <c r="B45" s="173"/>
      <c r="C45" s="173"/>
      <c r="D45" s="173"/>
      <c r="E45" s="173"/>
      <c r="F45" s="173"/>
      <c r="G45" s="173"/>
      <c r="H45" s="173"/>
      <c r="I45" s="173"/>
      <c r="J45" s="173"/>
      <c r="K45" s="157"/>
      <c r="L45" s="157"/>
      <c r="M45"/>
      <c r="N45"/>
      <c r="O45" s="136"/>
      <c r="P45"/>
      <c r="Q45"/>
      <c r="R45"/>
      <c r="S45"/>
      <c r="T45" s="144"/>
      <c r="U45" s="144"/>
      <c r="V45" s="144"/>
      <c r="W45" s="144"/>
    </row>
    <row r="46" spans="1:23" s="158" customFormat="1" x14ac:dyDescent="0.35">
      <c r="A46"/>
      <c r="B46" s="1383" t="s">
        <v>110</v>
      </c>
      <c r="C46" s="1383"/>
      <c r="D46" s="1383" t="s">
        <v>162</v>
      </c>
      <c r="E46" s="1383"/>
      <c r="F46" s="1383"/>
      <c r="G46" s="1383" t="s">
        <v>207</v>
      </c>
      <c r="H46" s="1383"/>
      <c r="I46" s="1383"/>
      <c r="J46" s="1383"/>
      <c r="K46" s="157"/>
      <c r="L46" s="157"/>
      <c r="M46"/>
      <c r="N46"/>
      <c r="O46" s="136"/>
      <c r="P46"/>
      <c r="Q46"/>
      <c r="R46"/>
      <c r="S46"/>
      <c r="T46" s="144"/>
      <c r="U46" s="144"/>
      <c r="V46" s="144"/>
      <c r="W46" s="144"/>
    </row>
    <row r="47" spans="1:23" s="158" customFormat="1" x14ac:dyDescent="0.35">
      <c r="A47"/>
      <c r="B47" s="1199">
        <f>'SPOT EQUITY_7DAYS'!B46</f>
        <v>0</v>
      </c>
      <c r="C47" s="1200"/>
      <c r="D47" s="1199">
        <f>'SPOT EQUITY_7DAYS'!D46:D46</f>
        <v>0</v>
      </c>
      <c r="E47" s="1203"/>
      <c r="F47" s="1200"/>
      <c r="G47" s="1193">
        <f>'SPOT EQUITY_7DAYS'!G46</f>
        <v>0</v>
      </c>
      <c r="H47" s="1194"/>
      <c r="I47" s="1194"/>
      <c r="J47" s="1195"/>
      <c r="K47" s="157"/>
      <c r="L47" s="157"/>
      <c r="M47"/>
      <c r="N47"/>
      <c r="O47" s="136"/>
      <c r="P47"/>
      <c r="Q47"/>
      <c r="R47"/>
      <c r="S47"/>
      <c r="T47" s="144"/>
      <c r="U47" s="144"/>
      <c r="V47" s="144"/>
      <c r="W47" s="144"/>
    </row>
    <row r="48" spans="1:23" s="158" customFormat="1" x14ac:dyDescent="0.35">
      <c r="A48" s="174" t="e">
        <f>(F17-#REF!)*12%</f>
        <v>#REF!</v>
      </c>
      <c r="B48" s="1201"/>
      <c r="C48" s="1202"/>
      <c r="D48" s="1201"/>
      <c r="E48" s="1204"/>
      <c r="F48" s="1202"/>
      <c r="G48" s="1196"/>
      <c r="H48" s="1197"/>
      <c r="I48" s="1197"/>
      <c r="J48" s="1198"/>
      <c r="K48" s="157"/>
      <c r="L48" s="157"/>
      <c r="M48"/>
      <c r="N48"/>
      <c r="O48" s="136"/>
      <c r="P48"/>
      <c r="Q48"/>
      <c r="R48"/>
      <c r="S48"/>
      <c r="T48" s="144"/>
      <c r="U48" s="144"/>
      <c r="V48" s="144"/>
      <c r="W48" s="144"/>
    </row>
    <row r="49" spans="1:30" s="158" customFormat="1" x14ac:dyDescent="0.35">
      <c r="A49"/>
      <c r="B49" s="1199">
        <f>'SPOT EQUITY_7DAYS'!B48</f>
        <v>0</v>
      </c>
      <c r="C49" s="1200"/>
      <c r="D49" s="1199">
        <f>'SPOT EQUITY_7DAYS'!D48:D48</f>
        <v>0</v>
      </c>
      <c r="E49" s="1203"/>
      <c r="F49" s="1200"/>
      <c r="G49" s="1193">
        <f>'SPOT EQUITY_7DAYS'!G48</f>
        <v>0</v>
      </c>
      <c r="H49" s="1194"/>
      <c r="I49" s="1194"/>
      <c r="J49" s="1195"/>
      <c r="K49" s="157"/>
      <c r="L49" s="157"/>
      <c r="M49"/>
      <c r="N49"/>
      <c r="O49" s="136"/>
      <c r="P49"/>
      <c r="Q49"/>
      <c r="R49"/>
      <c r="S49"/>
      <c r="T49" s="144"/>
      <c r="U49" s="144"/>
      <c r="V49" s="144"/>
      <c r="W49" s="144"/>
    </row>
    <row r="50" spans="1:30" s="158" customFormat="1" x14ac:dyDescent="0.35">
      <c r="A50"/>
      <c r="B50" s="1201"/>
      <c r="C50" s="1202"/>
      <c r="D50" s="1201"/>
      <c r="E50" s="1204"/>
      <c r="F50" s="1202"/>
      <c r="G50" s="1196"/>
      <c r="H50" s="1197"/>
      <c r="I50" s="1197"/>
      <c r="J50" s="1198"/>
      <c r="K50" s="157"/>
      <c r="L50" s="157"/>
      <c r="M50"/>
      <c r="N50"/>
      <c r="O50" s="136"/>
      <c r="P50"/>
      <c r="Q50"/>
      <c r="R50"/>
      <c r="S50"/>
      <c r="T50" s="144"/>
      <c r="U50" s="144"/>
      <c r="V50" s="144"/>
      <c r="W50" s="144"/>
    </row>
    <row r="51" spans="1:30" s="158" customFormat="1" ht="15" customHeight="1" x14ac:dyDescent="0.35">
      <c r="A51"/>
      <c r="B51" s="1199">
        <f>'SPOT EQUITY_7DAYS'!B50</f>
        <v>0</v>
      </c>
      <c r="C51" s="1200"/>
      <c r="D51" s="1199">
        <f>'SPOT EQUITY_7DAYS'!D50:D50</f>
        <v>0</v>
      </c>
      <c r="E51" s="1203"/>
      <c r="F51" s="1200"/>
      <c r="G51" s="1193">
        <f>'SPOT EQUITY_7DAYS'!G50</f>
        <v>0</v>
      </c>
      <c r="H51" s="1194"/>
      <c r="I51" s="1194"/>
      <c r="J51" s="1195"/>
      <c r="K51" s="157"/>
      <c r="L51" s="157"/>
      <c r="M51"/>
      <c r="N51"/>
      <c r="O51" s="136"/>
      <c r="P51"/>
      <c r="Q51"/>
      <c r="R51"/>
      <c r="S51"/>
      <c r="T51" s="144"/>
      <c r="U51" s="144"/>
      <c r="V51" s="144"/>
      <c r="W51" s="144"/>
    </row>
    <row r="52" spans="1:30" s="158" customFormat="1" x14ac:dyDescent="0.35">
      <c r="A52"/>
      <c r="B52" s="1201"/>
      <c r="C52" s="1202"/>
      <c r="D52" s="1201"/>
      <c r="E52" s="1204"/>
      <c r="F52" s="1202"/>
      <c r="G52" s="1196"/>
      <c r="H52" s="1197"/>
      <c r="I52" s="1197"/>
      <c r="J52" s="1198"/>
      <c r="K52" s="157"/>
      <c r="L52" s="157"/>
      <c r="M52"/>
      <c r="N52"/>
      <c r="O52" s="136"/>
      <c r="P52"/>
      <c r="Q52"/>
      <c r="R52"/>
      <c r="S52"/>
      <c r="T52" s="144"/>
      <c r="U52" s="144"/>
      <c r="V52" s="144"/>
      <c r="W52" s="144"/>
    </row>
    <row r="53" spans="1:30" s="158" customFormat="1" ht="15" customHeight="1" x14ac:dyDescent="0.35">
      <c r="A53"/>
      <c r="B53" s="1199">
        <f>'SPOT EQUITY_7DAYS'!B52</f>
        <v>0</v>
      </c>
      <c r="C53" s="1200"/>
      <c r="D53" s="1199">
        <f>'SPOT EQUITY_7DAYS'!D52:D52</f>
        <v>0</v>
      </c>
      <c r="E53" s="1203"/>
      <c r="F53" s="1200"/>
      <c r="G53" s="1193">
        <f>'SPOT EQUITY_7DAYS'!G52</f>
        <v>0</v>
      </c>
      <c r="H53" s="1194"/>
      <c r="I53" s="1194"/>
      <c r="J53" s="1195"/>
      <c r="K53" s="157"/>
      <c r="L53" s="157"/>
      <c r="M53"/>
      <c r="N53"/>
      <c r="O53" s="136"/>
      <c r="P53"/>
      <c r="Q53"/>
      <c r="R53"/>
      <c r="S53"/>
      <c r="T53" s="144"/>
      <c r="U53" s="144"/>
      <c r="V53" s="144"/>
      <c r="W53" s="144"/>
    </row>
    <row r="54" spans="1:30" x14ac:dyDescent="0.35">
      <c r="B54" s="1201"/>
      <c r="C54" s="1202"/>
      <c r="D54" s="1201"/>
      <c r="E54" s="1204"/>
      <c r="F54" s="1202"/>
      <c r="G54" s="1196"/>
      <c r="H54" s="1197"/>
      <c r="I54" s="1197"/>
      <c r="J54" s="1198"/>
      <c r="T54" s="137"/>
      <c r="U54" s="137"/>
      <c r="X54"/>
      <c r="Y54"/>
      <c r="Z54"/>
      <c r="AA54"/>
      <c r="AB54"/>
      <c r="AC54"/>
      <c r="AD54"/>
    </row>
    <row r="55" spans="1:30" ht="15" customHeight="1" x14ac:dyDescent="0.35">
      <c r="B55" s="1199">
        <f>'SPOT EQUITY_7DAYS'!B54</f>
        <v>0</v>
      </c>
      <c r="C55" s="1200"/>
      <c r="D55" s="1199">
        <f>'SPOT EQUITY_7DAYS'!D54:D54</f>
        <v>0</v>
      </c>
      <c r="E55" s="1203"/>
      <c r="F55" s="1200"/>
      <c r="G55" s="1193">
        <f>'SPOT EQUITY_7DAYS'!G54</f>
        <v>0</v>
      </c>
      <c r="H55" s="1194"/>
      <c r="I55" s="1194"/>
      <c r="J55" s="1195"/>
      <c r="X55" s="1402" t="s">
        <v>181</v>
      </c>
      <c r="Y55" s="1402"/>
    </row>
    <row r="56" spans="1:30" x14ac:dyDescent="0.35">
      <c r="B56" s="1201"/>
      <c r="C56" s="1202"/>
      <c r="D56" s="1201"/>
      <c r="E56" s="1204"/>
      <c r="F56" s="1202"/>
      <c r="G56" s="1196"/>
      <c r="H56" s="1197"/>
      <c r="I56" s="1197"/>
      <c r="J56" s="1198"/>
    </row>
    <row r="57" spans="1:30" ht="15" customHeight="1" x14ac:dyDescent="0.35">
      <c r="B57" s="1199">
        <f>'SPOT EQUITY_7DAYS'!B56</f>
        <v>0</v>
      </c>
      <c r="C57" s="1200"/>
      <c r="D57" s="1199">
        <f>'SPOT EQUITY_7DAYS'!D56:D56</f>
        <v>0</v>
      </c>
      <c r="E57" s="1203"/>
      <c r="F57" s="1200"/>
      <c r="G57" s="1193">
        <f>'SPOT EQUITY_7DAYS'!G56</f>
        <v>0</v>
      </c>
      <c r="H57" s="1194"/>
      <c r="I57" s="1194"/>
      <c r="J57" s="1195"/>
    </row>
    <row r="58" spans="1:30" x14ac:dyDescent="0.35">
      <c r="B58" s="1201"/>
      <c r="C58" s="1202"/>
      <c r="D58" s="1201"/>
      <c r="E58" s="1204"/>
      <c r="F58" s="1202"/>
      <c r="G58" s="1196"/>
      <c r="H58" s="1197"/>
      <c r="I58" s="1197"/>
      <c r="J58" s="1198"/>
    </row>
    <row r="59" spans="1:30" ht="15" customHeight="1" x14ac:dyDescent="0.35"/>
    <row r="60" spans="1:30" x14ac:dyDescent="0.35">
      <c r="B60" s="133"/>
      <c r="C60" s="497" t="s">
        <v>221</v>
      </c>
      <c r="D60" s="1417"/>
      <c r="E60" s="1417"/>
      <c r="F60" s="1417"/>
    </row>
    <row r="63" spans="1:30" x14ac:dyDescent="0.35">
      <c r="B63" s="8" t="s">
        <v>193</v>
      </c>
      <c r="C63" s="122"/>
      <c r="D63" s="176"/>
      <c r="E63" s="122"/>
      <c r="F63" s="8" t="s">
        <v>71</v>
      </c>
      <c r="G63" s="122"/>
      <c r="H63" s="122"/>
      <c r="I63" s="122"/>
    </row>
    <row r="64" spans="1:30" x14ac:dyDescent="0.35">
      <c r="B64" s="122"/>
      <c r="C64" s="122"/>
      <c r="D64" s="176"/>
      <c r="E64" s="122"/>
      <c r="F64" s="122"/>
      <c r="G64" s="122"/>
      <c r="H64" s="122"/>
      <c r="I64" s="122"/>
    </row>
    <row r="65" spans="2:9" x14ac:dyDescent="0.35">
      <c r="B65" s="1415" t="str">
        <f>FORM!I28</f>
        <v>selller</v>
      </c>
      <c r="C65" s="1415"/>
      <c r="D65" s="176"/>
      <c r="E65" s="122"/>
      <c r="F65" s="1416" t="str">
        <f>FORM!I26</f>
        <v>buyer</v>
      </c>
      <c r="G65" s="1416"/>
      <c r="H65" s="1416"/>
      <c r="I65" s="122"/>
    </row>
    <row r="66" spans="2:9" x14ac:dyDescent="0.35">
      <c r="B66" s="177" t="s">
        <v>192</v>
      </c>
      <c r="C66" s="177"/>
      <c r="D66" s="256"/>
      <c r="E66" s="122"/>
      <c r="F66" s="177" t="s">
        <v>192</v>
      </c>
      <c r="G66" s="1418"/>
      <c r="H66" s="1418"/>
      <c r="I66" s="250"/>
    </row>
  </sheetData>
  <sheetProtection password="CC2E" sheet="1" formatCells="0" formatColumns="0" formatRows="0"/>
  <mergeCells count="78">
    <mergeCell ref="F33:J33"/>
    <mergeCell ref="F28:H28"/>
    <mergeCell ref="D46:F46"/>
    <mergeCell ref="F37:J37"/>
    <mergeCell ref="G66:H66"/>
    <mergeCell ref="B65:C65"/>
    <mergeCell ref="F65:H65"/>
    <mergeCell ref="B51:C52"/>
    <mergeCell ref="D51:F52"/>
    <mergeCell ref="B57:C58"/>
    <mergeCell ref="D57:F58"/>
    <mergeCell ref="G57:J58"/>
    <mergeCell ref="D60:F60"/>
    <mergeCell ref="B53:C54"/>
    <mergeCell ref="D53:F54"/>
    <mergeCell ref="G53:J54"/>
    <mergeCell ref="B55:C56"/>
    <mergeCell ref="D55:F56"/>
    <mergeCell ref="G55:J56"/>
    <mergeCell ref="G51:J52"/>
    <mergeCell ref="B46:C46"/>
    <mergeCell ref="B47:C48"/>
    <mergeCell ref="D47:F48"/>
    <mergeCell ref="B49:C50"/>
    <mergeCell ref="D49:F50"/>
    <mergeCell ref="G2:J2"/>
    <mergeCell ref="R2:S2"/>
    <mergeCell ref="E9:J9"/>
    <mergeCell ref="P9:S9"/>
    <mergeCell ref="E10:J10"/>
    <mergeCell ref="P10:S10"/>
    <mergeCell ref="E11:J11"/>
    <mergeCell ref="P11:S11"/>
    <mergeCell ref="R3:S3"/>
    <mergeCell ref="B4:J5"/>
    <mergeCell ref="M4:S5"/>
    <mergeCell ref="E7:J7"/>
    <mergeCell ref="P7:S7"/>
    <mergeCell ref="E8:J8"/>
    <mergeCell ref="P8:S8"/>
    <mergeCell ref="P14:Q15"/>
    <mergeCell ref="E12:F12"/>
    <mergeCell ref="P12:Q12"/>
    <mergeCell ref="M14:N15"/>
    <mergeCell ref="F14:J14"/>
    <mergeCell ref="F15:J15"/>
    <mergeCell ref="F27:H27"/>
    <mergeCell ref="R14:S15"/>
    <mergeCell ref="R16:S16"/>
    <mergeCell ref="R17:S17"/>
    <mergeCell ref="M16:N16"/>
    <mergeCell ref="P16:Q16"/>
    <mergeCell ref="M19:N19"/>
    <mergeCell ref="P19:Q19"/>
    <mergeCell ref="F19:H19"/>
    <mergeCell ref="R18:S18"/>
    <mergeCell ref="M17:N17"/>
    <mergeCell ref="P17:Q17"/>
    <mergeCell ref="M18:N18"/>
    <mergeCell ref="P18:Q18"/>
    <mergeCell ref="F16:J16"/>
    <mergeCell ref="O14:O15"/>
    <mergeCell ref="F22:J22"/>
    <mergeCell ref="F17:J17"/>
    <mergeCell ref="X18:Y18"/>
    <mergeCell ref="X55:Y55"/>
    <mergeCell ref="F20:H20"/>
    <mergeCell ref="M26:N26"/>
    <mergeCell ref="F34:J34"/>
    <mergeCell ref="F35:J35"/>
    <mergeCell ref="F36:J36"/>
    <mergeCell ref="F24:H24"/>
    <mergeCell ref="F25:H25"/>
    <mergeCell ref="F26:H26"/>
    <mergeCell ref="R26:S26"/>
    <mergeCell ref="G46:J46"/>
    <mergeCell ref="G47:J48"/>
    <mergeCell ref="G49:J50"/>
  </mergeCells>
  <phoneticPr fontId="29" type="noConversion"/>
  <pageMargins left="0.59055118110236227" right="0.59055118110236227" top="0.86614173228346458" bottom="0.74803149606299213" header="0.31496062992125984" footer="0.31496062992125984"/>
  <pageSetup paperSize="14" scale="70" orientation="portrait" r:id="rId1"/>
  <headerFooter>
    <oddHeader xml:space="preserve">&amp;R&amp;"Century Gothic,Bold"&amp;18ANNEX A: 
SAMPLE PACKAGE COMPUTATION
</oddHeader>
  </headerFooter>
  <colBreaks count="1" manualBreakCount="1">
    <brk id="11" min="1" max="71"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dimension ref="A1:U123"/>
  <sheetViews>
    <sheetView showGridLines="0" showZeros="0" view="pageLayout" topLeftCell="A96" zoomScaleNormal="100" zoomScaleSheetLayoutView="85" workbookViewId="0">
      <selection activeCell="C115" sqref="C115"/>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27" t="str">
        <f>FORM!I14</f>
        <v>Building 1</v>
      </c>
      <c r="E21" s="1328"/>
      <c r="F21" s="1329"/>
      <c r="G21" s="50" t="s">
        <v>136</v>
      </c>
      <c r="H21" s="51"/>
      <c r="I21" s="52"/>
      <c r="J21" s="1330" t="str">
        <f>D21</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 t="shared" ref="J23:J25" si="0">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'SPOT EQUITY_30DAYS'!E12</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30" t="str">
        <f t="shared" si="0"/>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419">
        <f>'SPOT EQUITY_30DAYS'!F14</f>
        <v>832787.56226250005</v>
      </c>
      <c r="J27" s="1420"/>
      <c r="K27" s="1420"/>
      <c r="L27" s="1420"/>
      <c r="M27" s="1420"/>
      <c r="N27" s="1420"/>
      <c r="O27" s="1420"/>
      <c r="P27" s="1420"/>
      <c r="Q27" s="1420"/>
      <c r="R27" s="1420"/>
      <c r="S27" s="1420"/>
      <c r="T27" s="1420"/>
      <c r="U27" s="1421"/>
    </row>
    <row r="28" spans="1:21" ht="14" x14ac:dyDescent="0.3">
      <c r="A28" s="50" t="s">
        <v>147</v>
      </c>
      <c r="B28" s="51"/>
      <c r="C28" s="53"/>
      <c r="D28" s="53"/>
      <c r="E28" s="53"/>
      <c r="F28" s="53"/>
      <c r="G28" s="53"/>
      <c r="H28" s="54"/>
      <c r="I28" s="1419">
        <f>'SPOT EQUITY_30DAYS'!F16</f>
        <v>0</v>
      </c>
      <c r="J28" s="1420"/>
      <c r="K28" s="1420"/>
      <c r="L28" s="1420"/>
      <c r="M28" s="1420"/>
      <c r="N28" s="1420"/>
      <c r="O28" s="1420"/>
      <c r="P28" s="1420"/>
      <c r="Q28" s="1420"/>
      <c r="R28" s="1420"/>
      <c r="S28" s="1420"/>
      <c r="T28" s="1420"/>
      <c r="U28" s="1421"/>
    </row>
    <row r="29" spans="1:21" ht="14" x14ac:dyDescent="0.3">
      <c r="A29" s="60" t="s">
        <v>81</v>
      </c>
      <c r="B29" s="61"/>
      <c r="C29" s="62"/>
      <c r="D29" s="62"/>
      <c r="E29" s="62"/>
      <c r="F29" s="62"/>
      <c r="G29" s="62"/>
      <c r="H29" s="59"/>
      <c r="I29" s="1419">
        <f>'SPOT EQUITY_30DAYS'!F17</f>
        <v>826541.65554553131</v>
      </c>
      <c r="J29" s="1420"/>
      <c r="K29" s="1420"/>
      <c r="L29" s="1420"/>
      <c r="M29" s="1420"/>
      <c r="N29" s="1420"/>
      <c r="O29" s="1420"/>
      <c r="P29" s="1420"/>
      <c r="Q29" s="1420"/>
      <c r="R29" s="1420"/>
      <c r="S29" s="1420"/>
      <c r="T29" s="1420"/>
      <c r="U29" s="1421"/>
    </row>
    <row r="30" spans="1:21" ht="14" x14ac:dyDescent="0.3">
      <c r="A30" s="50" t="s">
        <v>148</v>
      </c>
      <c r="B30" s="51"/>
      <c r="C30" s="53"/>
      <c r="D30" s="53"/>
      <c r="E30" s="53"/>
      <c r="F30" s="53"/>
      <c r="G30" s="53"/>
      <c r="H30" s="54"/>
      <c r="I30" s="1419">
        <f>'SPOT EQUITY_30DAYS'!F20</f>
        <v>83278.756226250014</v>
      </c>
      <c r="J30" s="1420"/>
      <c r="K30" s="1420"/>
      <c r="L30" s="1420"/>
      <c r="M30" s="1420"/>
      <c r="N30" s="1420"/>
      <c r="O30" s="1420"/>
      <c r="P30" s="1420"/>
      <c r="Q30" s="1420"/>
      <c r="R30" s="1420"/>
      <c r="S30" s="1420"/>
      <c r="T30" s="1420"/>
      <c r="U30" s="1421"/>
    </row>
    <row r="31" spans="1:21" ht="14" x14ac:dyDescent="0.3">
      <c r="A31" s="50" t="s">
        <v>149</v>
      </c>
      <c r="B31" s="51"/>
      <c r="C31" s="53"/>
      <c r="D31" s="53"/>
      <c r="E31" s="53"/>
      <c r="F31" s="53"/>
      <c r="G31" s="53"/>
      <c r="H31" s="54"/>
      <c r="I31" s="1419">
        <f>'SPOT EQUITY_30DAYS'!F24</f>
        <v>151350.81156558674</v>
      </c>
      <c r="J31" s="1420"/>
      <c r="K31" s="1420"/>
      <c r="L31" s="1420"/>
      <c r="M31" s="1420"/>
      <c r="N31" s="1420"/>
      <c r="O31" s="1420"/>
      <c r="P31" s="1420"/>
      <c r="Q31" s="1420"/>
      <c r="R31" s="1420"/>
      <c r="S31" s="1420"/>
      <c r="T31" s="1420"/>
      <c r="U31" s="1421"/>
    </row>
    <row r="32" spans="1:21" ht="14" x14ac:dyDescent="0.3">
      <c r="A32" s="50" t="s">
        <v>150</v>
      </c>
      <c r="B32" s="51"/>
      <c r="C32" s="53"/>
      <c r="D32" s="53"/>
      <c r="E32" s="53"/>
      <c r="F32" s="53"/>
      <c r="G32" s="53"/>
      <c r="H32" s="54"/>
      <c r="I32" s="1419">
        <f>'SPOT EQUITY_30DAYS'!E22</f>
        <v>0</v>
      </c>
      <c r="J32" s="1420"/>
      <c r="K32" s="1420"/>
      <c r="L32" s="1420"/>
      <c r="M32" s="1420"/>
      <c r="N32" s="1420"/>
      <c r="O32" s="1420"/>
      <c r="P32" s="1420"/>
      <c r="Q32" s="1420"/>
      <c r="R32" s="1420"/>
      <c r="S32" s="1420"/>
      <c r="T32" s="1420"/>
      <c r="U32" s="1421"/>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0657"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0658"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70659"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0660"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0661"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0662"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0663"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0664"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0665"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70666"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70667"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0668"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0669"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0670"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0671"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0672"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0673"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0674"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0675"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7"/>
  <dimension ref="A1:BB75"/>
  <sheetViews>
    <sheetView showGridLines="0" showZeros="0" view="pageLayout" topLeftCell="A5" zoomScale="90" zoomScaleNormal="80" zoomScaleSheetLayoutView="100" zoomScalePageLayoutView="90" workbookViewId="0">
      <selection activeCell="F19" sqref="F19:H19"/>
    </sheetView>
  </sheetViews>
  <sheetFormatPr defaultColWidth="9.1796875" defaultRowHeight="14.5" x14ac:dyDescent="0.35"/>
  <cols>
    <col min="1" max="1" width="1" customWidth="1"/>
    <col min="2" max="2" width="13.1796875" customWidth="1"/>
    <col min="3" max="3" width="18.1796875" customWidth="1"/>
    <col min="4" max="4" width="16.453125" style="135" customWidth="1"/>
    <col min="5" max="5" width="14" customWidth="1"/>
    <col min="6" max="6" width="9.453125" customWidth="1"/>
    <col min="7" max="7" width="13" customWidth="1"/>
    <col min="8" max="8" width="4.1796875" customWidth="1"/>
    <col min="9" max="9" width="22" customWidth="1"/>
    <col min="10" max="10" width="0.81640625" customWidth="1"/>
    <col min="11" max="11" width="1" customWidth="1"/>
    <col min="13" max="13" width="21.54296875" customWidth="1"/>
    <col min="14" max="14" width="17.81640625" style="136" customWidth="1"/>
    <col min="15" max="15" width="5.81640625" customWidth="1"/>
    <col min="16" max="16" width="17.54296875" customWidth="1"/>
    <col min="17" max="17" width="11.1796875" customWidth="1"/>
    <col min="18" max="18" width="9" customWidth="1"/>
    <col min="19" max="19" width="18.1796875" customWidth="1"/>
  </cols>
  <sheetData>
    <row r="1" spans="1:54" ht="7.5" customHeight="1" x14ac:dyDescent="0.35"/>
    <row r="2" spans="1:54" x14ac:dyDescent="0.35">
      <c r="B2" s="178" t="s">
        <v>2</v>
      </c>
      <c r="C2" s="501">
        <f>FORM!I20</f>
        <v>45901</v>
      </c>
      <c r="D2" s="179"/>
      <c r="F2" s="179"/>
      <c r="G2" s="180" t="s">
        <v>91</v>
      </c>
      <c r="H2" s="1444" t="s">
        <v>88</v>
      </c>
      <c r="I2" s="1444"/>
      <c r="J2" s="179"/>
      <c r="K2" s="8"/>
      <c r="L2" s="181" t="s">
        <v>80</v>
      </c>
      <c r="M2" s="502">
        <f>C2</f>
        <v>45901</v>
      </c>
      <c r="N2" s="182"/>
      <c r="O2" s="182"/>
      <c r="Q2" s="181" t="str">
        <f>G2</f>
        <v xml:space="preserve">PAGE: </v>
      </c>
      <c r="R2" s="1433" t="s">
        <v>90</v>
      </c>
      <c r="S2" s="1434"/>
    </row>
    <row r="3" spans="1:54" s="6" customFormat="1" ht="12.5" x14ac:dyDescent="0.25">
      <c r="B3" s="105"/>
      <c r="C3" s="106"/>
      <c r="D3" s="106"/>
      <c r="E3" s="105"/>
      <c r="F3" s="105"/>
      <c r="G3" s="107"/>
      <c r="H3" s="107"/>
      <c r="I3" s="107"/>
      <c r="J3" s="111"/>
      <c r="K3" s="107"/>
      <c r="L3" s="105"/>
      <c r="M3" s="106"/>
      <c r="N3" s="106"/>
      <c r="O3" s="105"/>
      <c r="P3" s="105"/>
      <c r="Q3" s="105"/>
      <c r="R3" s="1438"/>
      <c r="S3" s="1438"/>
    </row>
    <row r="4" spans="1:54" s="143" customFormat="1" ht="12.75" customHeight="1" x14ac:dyDescent="0.3">
      <c r="A4" s="145"/>
      <c r="B4" s="1214" t="s">
        <v>168</v>
      </c>
      <c r="C4" s="1214"/>
      <c r="D4" s="1214"/>
      <c r="E4" s="1214"/>
      <c r="F4" s="1214"/>
      <c r="G4" s="1214"/>
      <c r="H4" s="1214"/>
      <c r="I4" s="1214"/>
      <c r="J4" s="183"/>
      <c r="K4" s="184"/>
      <c r="L4" s="1214" t="s">
        <v>3</v>
      </c>
      <c r="M4" s="1214"/>
      <c r="N4" s="1214"/>
      <c r="O4" s="1214"/>
      <c r="P4" s="1214"/>
      <c r="Q4" s="1214"/>
      <c r="R4" s="1214"/>
      <c r="S4" s="1214"/>
    </row>
    <row r="5" spans="1:54" s="143" customFormat="1" ht="12.75" customHeight="1" x14ac:dyDescent="0.3">
      <c r="A5" s="145"/>
      <c r="B5" s="1214"/>
      <c r="C5" s="1214"/>
      <c r="D5" s="1214"/>
      <c r="E5" s="1214"/>
      <c r="F5" s="1214"/>
      <c r="G5" s="1214"/>
      <c r="H5" s="1214"/>
      <c r="I5" s="1214"/>
      <c r="J5" s="183"/>
      <c r="K5" s="184"/>
      <c r="L5" s="1214"/>
      <c r="M5" s="1214"/>
      <c r="N5" s="1214"/>
      <c r="O5" s="1214"/>
      <c r="P5" s="1214"/>
      <c r="Q5" s="1214"/>
      <c r="R5" s="1214"/>
      <c r="S5" s="1214"/>
    </row>
    <row r="6" spans="1:54" s="143" customFormat="1" ht="12.75" customHeight="1" x14ac:dyDescent="0.3">
      <c r="A6" s="145"/>
      <c r="B6" s="185"/>
      <c r="C6" s="185"/>
      <c r="D6" s="186"/>
      <c r="E6" s="185"/>
      <c r="F6" s="185"/>
      <c r="G6" s="185"/>
      <c r="H6" s="185"/>
      <c r="I6" s="185"/>
      <c r="J6" s="185"/>
      <c r="K6" s="185"/>
      <c r="L6" s="112"/>
      <c r="M6" s="113"/>
      <c r="N6" s="115"/>
      <c r="O6" s="113"/>
      <c r="P6" s="113"/>
      <c r="Q6" s="113"/>
      <c r="R6" s="113"/>
      <c r="S6" s="115"/>
    </row>
    <row r="7" spans="1:54" s="188" customFormat="1" ht="11.5" x14ac:dyDescent="0.25">
      <c r="A7" s="187"/>
      <c r="B7" s="150" t="str">
        <f>'STANDARD COMP.'!B6</f>
        <v>CLIENT'S NAME</v>
      </c>
      <c r="C7" s="117"/>
      <c r="D7" s="257" t="s">
        <v>5</v>
      </c>
      <c r="E7" s="1439" t="str">
        <f>FORM!I26</f>
        <v>buyer</v>
      </c>
      <c r="F7" s="1440"/>
      <c r="G7" s="1440"/>
      <c r="H7" s="1440"/>
      <c r="I7" s="1441"/>
      <c r="J7" s="119"/>
      <c r="K7" s="159"/>
      <c r="L7" s="150" t="str">
        <f>B7</f>
        <v>CLIENT'S NAME</v>
      </c>
      <c r="M7" s="126"/>
      <c r="N7" s="257" t="s">
        <v>5</v>
      </c>
      <c r="O7" s="1439" t="str">
        <f t="shared" ref="O7:O11" si="0">E7</f>
        <v>buyer</v>
      </c>
      <c r="P7" s="1440"/>
      <c r="Q7" s="1440"/>
      <c r="R7" s="1440"/>
      <c r="S7" s="1441"/>
      <c r="AN7" s="189"/>
      <c r="BA7" s="190"/>
      <c r="BB7" s="191"/>
    </row>
    <row r="8" spans="1:54" s="188" customFormat="1" ht="11.5" x14ac:dyDescent="0.25">
      <c r="A8" s="187"/>
      <c r="B8" s="150" t="str">
        <f>'STANDARD COMP.'!B7</f>
        <v>PROJECT NAME</v>
      </c>
      <c r="C8" s="118"/>
      <c r="D8" s="257" t="s">
        <v>5</v>
      </c>
      <c r="E8" s="1439" t="str">
        <f>FORM!I11</f>
        <v>The Southprime Flats</v>
      </c>
      <c r="F8" s="1440"/>
      <c r="G8" s="1440"/>
      <c r="H8" s="1440"/>
      <c r="I8" s="1441"/>
      <c r="J8" s="119"/>
      <c r="K8" s="159"/>
      <c r="L8" s="150" t="str">
        <f t="shared" ref="L8:L12" si="1">B8</f>
        <v>PROJECT NAME</v>
      </c>
      <c r="M8" s="120"/>
      <c r="N8" s="257" t="s">
        <v>5</v>
      </c>
      <c r="O8" s="1439" t="str">
        <f t="shared" si="0"/>
        <v>The Southprime Flats</v>
      </c>
      <c r="P8" s="1440"/>
      <c r="Q8" s="1440"/>
      <c r="R8" s="1440"/>
      <c r="S8" s="1441"/>
      <c r="AN8" s="189"/>
      <c r="BA8" s="190"/>
      <c r="BB8" s="191"/>
    </row>
    <row r="9" spans="1:54" s="188" customFormat="1" ht="11.5" x14ac:dyDescent="0.25">
      <c r="A9" s="187"/>
      <c r="B9" s="150" t="str">
        <f>'STANDARD COMP.'!B8</f>
        <v>PARKING SLOT NUMBER</v>
      </c>
      <c r="C9" s="118"/>
      <c r="D9" s="257" t="s">
        <v>5</v>
      </c>
      <c r="E9" s="1439" t="str">
        <f>'STANDARD COMP.'!E8</f>
        <v>GF-B1-12</v>
      </c>
      <c r="F9" s="1440"/>
      <c r="G9" s="1440"/>
      <c r="H9" s="1440"/>
      <c r="I9" s="1441"/>
      <c r="J9" s="119"/>
      <c r="K9" s="159"/>
      <c r="L9" s="150" t="str">
        <f t="shared" si="1"/>
        <v>PARKING SLOT NUMBER</v>
      </c>
      <c r="M9" s="120"/>
      <c r="N9" s="257" t="s">
        <v>5</v>
      </c>
      <c r="O9" s="1439" t="str">
        <f t="shared" si="0"/>
        <v>GF-B1-12</v>
      </c>
      <c r="P9" s="1440"/>
      <c r="Q9" s="1440"/>
      <c r="R9" s="1440"/>
      <c r="S9" s="1441"/>
      <c r="AN9" s="189"/>
      <c r="BA9" s="190"/>
      <c r="BB9" s="191"/>
    </row>
    <row r="10" spans="1:54" s="188" customFormat="1" ht="11.5" x14ac:dyDescent="0.25">
      <c r="A10" s="187"/>
      <c r="B10" s="150" t="str">
        <f>'STANDARD COMP.'!B9</f>
        <v>BUILDING</v>
      </c>
      <c r="C10" s="118"/>
      <c r="D10" s="257" t="s">
        <v>5</v>
      </c>
      <c r="E10" s="1439" t="str">
        <f>'STANDARD COMP.'!N9</f>
        <v>Building 1</v>
      </c>
      <c r="F10" s="1440"/>
      <c r="G10" s="1440"/>
      <c r="H10" s="1440"/>
      <c r="I10" s="1441"/>
      <c r="J10" s="119"/>
      <c r="K10" s="159"/>
      <c r="L10" s="150" t="str">
        <f t="shared" si="1"/>
        <v>BUILDING</v>
      </c>
      <c r="M10" s="120"/>
      <c r="N10" s="257" t="s">
        <v>5</v>
      </c>
      <c r="O10" s="1439" t="str">
        <f t="shared" si="0"/>
        <v>Building 1</v>
      </c>
      <c r="P10" s="1440"/>
      <c r="Q10" s="1440"/>
      <c r="R10" s="1440"/>
      <c r="S10" s="1441"/>
      <c r="AN10" s="189"/>
      <c r="BA10" s="190"/>
      <c r="BB10" s="191"/>
    </row>
    <row r="11" spans="1:54" s="188" customFormat="1" ht="11.5" x14ac:dyDescent="0.25">
      <c r="A11" s="187"/>
      <c r="B11" s="150" t="str">
        <f>'STANDARD COMP.'!B10</f>
        <v>PARKING MODEL</v>
      </c>
      <c r="C11" s="118"/>
      <c r="D11" s="257" t="s">
        <v>5</v>
      </c>
      <c r="E11" s="1445" t="str">
        <f>'STANDARD COMP.'!E10</f>
        <v>Single Slot</v>
      </c>
      <c r="F11" s="1446"/>
      <c r="G11" s="1446"/>
      <c r="H11" s="1446"/>
      <c r="I11" s="1447"/>
      <c r="J11" s="119"/>
      <c r="K11" s="159"/>
      <c r="L11" s="150" t="str">
        <f t="shared" si="1"/>
        <v>PARKING MODEL</v>
      </c>
      <c r="M11" s="120"/>
      <c r="N11" s="257" t="s">
        <v>5</v>
      </c>
      <c r="O11" s="1435" t="str">
        <f t="shared" si="0"/>
        <v>Single Slot</v>
      </c>
      <c r="P11" s="1436"/>
      <c r="Q11" s="1436"/>
      <c r="R11" s="1436"/>
      <c r="S11" s="1437"/>
      <c r="AN11" s="189"/>
      <c r="BA11" s="190"/>
      <c r="BB11" s="191"/>
    </row>
    <row r="12" spans="1:54" s="188" customFormat="1" ht="11.5" x14ac:dyDescent="0.25">
      <c r="A12" s="187"/>
      <c r="B12" s="150" t="str">
        <f>'STANDARD COMP.'!B11</f>
        <v>TOTAL AREA</v>
      </c>
      <c r="C12" s="118"/>
      <c r="D12" s="257" t="s">
        <v>5</v>
      </c>
      <c r="E12" s="1451">
        <f>'STANDARD COMP.'!E11:F11</f>
        <v>13.5</v>
      </c>
      <c r="F12" s="1452"/>
      <c r="G12" s="556" t="s">
        <v>11</v>
      </c>
      <c r="H12" s="563"/>
      <c r="I12" s="564"/>
      <c r="J12" s="119"/>
      <c r="K12" s="159"/>
      <c r="L12" s="150" t="str">
        <f t="shared" si="1"/>
        <v>TOTAL AREA</v>
      </c>
      <c r="M12" s="120"/>
      <c r="N12" s="257" t="s">
        <v>5</v>
      </c>
      <c r="O12" s="1442">
        <f>E12</f>
        <v>13.5</v>
      </c>
      <c r="P12" s="1443"/>
      <c r="Q12" s="192" t="s">
        <v>11</v>
      </c>
      <c r="R12" s="193"/>
      <c r="S12" s="121"/>
      <c r="AN12" s="189"/>
      <c r="BA12" s="190"/>
      <c r="BB12" s="191"/>
    </row>
    <row r="13" spans="1:54" x14ac:dyDescent="0.35">
      <c r="A13" s="168"/>
      <c r="B13" s="132"/>
      <c r="C13" s="132"/>
      <c r="D13" s="194"/>
      <c r="E13" s="195"/>
      <c r="F13" s="123"/>
      <c r="G13" s="123"/>
      <c r="H13" s="123"/>
      <c r="I13" s="123"/>
      <c r="J13" s="196"/>
      <c r="K13" s="132"/>
      <c r="L13" s="132"/>
      <c r="M13" s="132"/>
      <c r="N13" s="197"/>
      <c r="O13" s="132"/>
      <c r="P13" s="132"/>
      <c r="Q13" s="132"/>
      <c r="R13" s="132"/>
      <c r="S13" s="132"/>
    </row>
    <row r="14" spans="1:54" x14ac:dyDescent="0.35">
      <c r="A14" s="168"/>
      <c r="B14" s="198" t="s">
        <v>16</v>
      </c>
      <c r="C14" s="199"/>
      <c r="D14" s="200" t="s">
        <v>5</v>
      </c>
      <c r="E14" s="201"/>
      <c r="F14" s="1250">
        <f>'STANDARD COMP.'!F13</f>
        <v>832787.56226250005</v>
      </c>
      <c r="G14" s="1250"/>
      <c r="H14" s="1450"/>
      <c r="I14" s="202"/>
      <c r="J14" s="203"/>
      <c r="K14" s="203"/>
      <c r="L14" s="1221" t="s">
        <v>12</v>
      </c>
      <c r="M14" s="1221"/>
      <c r="N14" s="1222" t="s">
        <v>13</v>
      </c>
      <c r="O14" s="1221" t="s">
        <v>14</v>
      </c>
      <c r="P14" s="1221"/>
      <c r="Q14" s="1224" t="s">
        <v>15</v>
      </c>
      <c r="R14" s="1456"/>
      <c r="S14" s="1225"/>
    </row>
    <row r="15" spans="1:54" s="207" customFormat="1" x14ac:dyDescent="0.35">
      <c r="A15" s="168"/>
      <c r="B15" s="204" t="s">
        <v>18</v>
      </c>
      <c r="C15" s="205"/>
      <c r="D15" s="194" t="s">
        <v>5</v>
      </c>
      <c r="E15" s="206">
        <f>IF(E16&gt;18,10%,IF(E16&gt;=12,5%,IF(E16&gt;5,2.5%,)))</f>
        <v>0</v>
      </c>
      <c r="F15" s="1448">
        <f>F14*E15</f>
        <v>0</v>
      </c>
      <c r="G15" s="1448"/>
      <c r="H15" s="1449"/>
      <c r="I15" s="202"/>
      <c r="J15" s="132"/>
      <c r="K15" s="132"/>
      <c r="L15" s="1221"/>
      <c r="M15" s="1221"/>
      <c r="N15" s="1222"/>
      <c r="O15" s="1221"/>
      <c r="P15" s="1221"/>
      <c r="Q15" s="1226"/>
      <c r="R15" s="1457"/>
      <c r="S15" s="1227"/>
    </row>
    <row r="16" spans="1:54" x14ac:dyDescent="0.35">
      <c r="A16" s="208"/>
      <c r="B16" s="204" t="s">
        <v>167</v>
      </c>
      <c r="C16" s="205"/>
      <c r="D16" s="194" t="s">
        <v>5</v>
      </c>
      <c r="E16" s="768">
        <f>'STANDARD COMP.'!E26</f>
        <v>1</v>
      </c>
      <c r="F16" s="1463">
        <f>'STANDARD COMP.'!F14:I14</f>
        <v>0</v>
      </c>
      <c r="G16" s="1448"/>
      <c r="H16" s="1448"/>
      <c r="I16" s="1464"/>
      <c r="J16" s="203"/>
      <c r="K16" s="203"/>
      <c r="L16" s="1461" t="s">
        <v>17</v>
      </c>
      <c r="M16" s="1461"/>
      <c r="N16" s="127">
        <f>C2</f>
        <v>45901</v>
      </c>
      <c r="O16" s="1462">
        <f>F25</f>
        <v>10000</v>
      </c>
      <c r="P16" s="1462"/>
      <c r="Q16" s="1458"/>
      <c r="R16" s="1459"/>
      <c r="S16" s="1460"/>
    </row>
    <row r="17" spans="1:19" s="207" customFormat="1" x14ac:dyDescent="0.35">
      <c r="A17" s="168"/>
      <c r="B17" s="171" t="s">
        <v>81</v>
      </c>
      <c r="C17" s="131"/>
      <c r="D17" s="200" t="s">
        <v>5</v>
      </c>
      <c r="E17" s="209"/>
      <c r="F17" s="1455">
        <f>F14-(F15+F16)</f>
        <v>832787.56226250005</v>
      </c>
      <c r="G17" s="1250"/>
      <c r="H17" s="1250"/>
      <c r="I17" s="1251"/>
      <c r="J17" s="132"/>
      <c r="K17" s="132"/>
      <c r="L17" s="1461" t="s">
        <v>82</v>
      </c>
      <c r="M17" s="1461"/>
      <c r="N17" s="127">
        <f>N16+30</f>
        <v>45931</v>
      </c>
      <c r="O17" s="1462">
        <f>F26</f>
        <v>985181.1369036875</v>
      </c>
      <c r="P17" s="1462"/>
      <c r="Q17" s="1458"/>
      <c r="R17" s="1459"/>
      <c r="S17" s="1460"/>
    </row>
    <row r="18" spans="1:19" x14ac:dyDescent="0.35">
      <c r="A18" s="168"/>
      <c r="B18" s="210"/>
      <c r="C18" s="211"/>
      <c r="D18" s="194"/>
      <c r="E18" s="194"/>
      <c r="F18" s="1453">
        <f>E19*F17</f>
        <v>99934.507471500008</v>
      </c>
      <c r="G18" s="1453"/>
      <c r="H18" s="1453"/>
      <c r="I18" s="1453"/>
      <c r="J18" s="132"/>
      <c r="K18" s="132"/>
      <c r="L18" s="1465"/>
      <c r="M18" s="1465"/>
      <c r="N18" s="255"/>
      <c r="O18" s="1466"/>
      <c r="P18" s="1466"/>
      <c r="Q18" s="1454"/>
      <c r="R18" s="1454"/>
      <c r="S18" s="203"/>
    </row>
    <row r="19" spans="1:19" x14ac:dyDescent="0.35">
      <c r="A19" s="168"/>
      <c r="B19" s="216" t="s">
        <v>23</v>
      </c>
      <c r="C19" s="217"/>
      <c r="D19" s="194" t="s">
        <v>5</v>
      </c>
      <c r="E19" s="218">
        <v>0.12</v>
      </c>
      <c r="F19" s="1274">
        <f>F17*0.12</f>
        <v>99934.507471500008</v>
      </c>
      <c r="G19" s="1275"/>
      <c r="H19" s="1403"/>
      <c r="I19" s="215"/>
      <c r="J19" s="132"/>
      <c r="K19" s="132"/>
      <c r="L19" s="228"/>
      <c r="M19" s="228"/>
      <c r="N19" s="229"/>
      <c r="O19" s="230"/>
      <c r="P19" s="230"/>
      <c r="Q19" s="230"/>
      <c r="R19" s="203"/>
      <c r="S19" s="203"/>
    </row>
    <row r="20" spans="1:19" x14ac:dyDescent="0.35">
      <c r="A20" s="168"/>
      <c r="B20" s="219" t="s">
        <v>25</v>
      </c>
      <c r="C20" s="217"/>
      <c r="D20" s="194" t="s">
        <v>5</v>
      </c>
      <c r="E20" s="615">
        <v>7.4999999999999997E-2</v>
      </c>
      <c r="F20" s="1471">
        <f>E20*F14</f>
        <v>62459.0671696875</v>
      </c>
      <c r="G20" s="1472"/>
      <c r="H20" s="1473"/>
      <c r="I20" s="215"/>
      <c r="J20" s="132"/>
      <c r="K20" s="132"/>
      <c r="L20" s="228"/>
      <c r="M20" s="228"/>
      <c r="N20" s="229"/>
      <c r="O20" s="230"/>
      <c r="P20" s="230"/>
      <c r="Q20" s="230"/>
      <c r="R20" s="203"/>
      <c r="S20" s="203"/>
    </row>
    <row r="21" spans="1:19" x14ac:dyDescent="0.35">
      <c r="A21" s="208"/>
      <c r="B21" s="220"/>
      <c r="C21" s="221"/>
      <c r="D21" s="194"/>
      <c r="E21" s="123"/>
      <c r="F21" s="212"/>
      <c r="G21" s="212"/>
      <c r="H21" s="212"/>
      <c r="I21" s="123"/>
      <c r="J21" s="203"/>
      <c r="K21" s="132"/>
      <c r="L21" s="232"/>
      <c r="M21" s="132" t="s">
        <v>1</v>
      </c>
      <c r="N21" s="197"/>
      <c r="O21" s="132"/>
      <c r="P21" s="132"/>
      <c r="Q21" s="132"/>
      <c r="R21" s="132"/>
      <c r="S21" s="132"/>
    </row>
    <row r="22" spans="1:19" x14ac:dyDescent="0.35">
      <c r="A22" s="168"/>
      <c r="B22" s="171" t="s">
        <v>28</v>
      </c>
      <c r="C22" s="131"/>
      <c r="D22" s="200" t="s">
        <v>5</v>
      </c>
      <c r="E22" s="681"/>
      <c r="F22" s="1264">
        <f>F17+F19+F20</f>
        <v>995181.1369036875</v>
      </c>
      <c r="G22" s="1264"/>
      <c r="H22" s="1404"/>
      <c r="I22" s="202"/>
      <c r="J22" s="132"/>
      <c r="K22" s="203"/>
      <c r="L22" s="232"/>
      <c r="M22" s="132"/>
      <c r="N22" s="197"/>
      <c r="O22" s="132"/>
      <c r="P22" s="132"/>
      <c r="Q22" s="132"/>
      <c r="R22" s="132"/>
      <c r="S22" s="132"/>
    </row>
    <row r="23" spans="1:19" s="207" customFormat="1" x14ac:dyDescent="0.35">
      <c r="A23" s="168"/>
      <c r="B23" s="210"/>
      <c r="C23" s="132"/>
      <c r="D23" s="194"/>
      <c r="E23" s="123"/>
      <c r="F23" s="212"/>
      <c r="G23" s="212"/>
      <c r="H23" s="212"/>
      <c r="I23" s="123"/>
      <c r="J23" s="132"/>
      <c r="K23" s="132"/>
      <c r="L23" s="203" t="s">
        <v>70</v>
      </c>
      <c r="M23" s="203"/>
      <c r="N23" s="228"/>
      <c r="O23" s="203"/>
      <c r="P23"/>
      <c r="Q23" s="203" t="s">
        <v>71</v>
      </c>
      <c r="R23" s="132"/>
      <c r="S23" s="132"/>
    </row>
    <row r="24" spans="1:19" x14ac:dyDescent="0.35">
      <c r="A24" s="208"/>
      <c r="B24" s="1429" t="s">
        <v>82</v>
      </c>
      <c r="C24" s="1429"/>
      <c r="D24" s="200" t="s">
        <v>5</v>
      </c>
      <c r="E24" s="222">
        <v>1</v>
      </c>
      <c r="F24" s="1266">
        <f>F22*E24</f>
        <v>995181.1369036875</v>
      </c>
      <c r="G24" s="1264"/>
      <c r="H24" s="1264"/>
      <c r="I24" s="1265"/>
      <c r="J24" s="203"/>
      <c r="K24" s="132"/>
      <c r="L24" s="132"/>
      <c r="M24" s="132"/>
      <c r="N24" s="231"/>
      <c r="O24" s="132"/>
      <c r="P24" s="132"/>
      <c r="Q24" s="132"/>
      <c r="R24" s="132"/>
      <c r="S24" s="132"/>
    </row>
    <row r="25" spans="1:19" s="207" customFormat="1" x14ac:dyDescent="0.35">
      <c r="A25" s="168"/>
      <c r="B25" s="1211" t="s">
        <v>225</v>
      </c>
      <c r="C25" s="1211"/>
      <c r="D25" s="194" t="s">
        <v>5</v>
      </c>
      <c r="E25" s="223"/>
      <c r="F25" s="1468">
        <f>'STANDARD COMP.'!F23</f>
        <v>10000</v>
      </c>
      <c r="G25" s="1469"/>
      <c r="H25" s="1469"/>
      <c r="I25" s="1470"/>
      <c r="J25" s="203"/>
      <c r="K25" s="203"/>
      <c r="L25" s="132"/>
      <c r="M25" s="132"/>
      <c r="N25" s="231"/>
      <c r="O25" s="132"/>
      <c r="P25" s="132"/>
      <c r="Q25" s="132"/>
      <c r="R25" s="132"/>
      <c r="S25" s="132"/>
    </row>
    <row r="26" spans="1:19" s="207" customFormat="1" x14ac:dyDescent="0.35">
      <c r="A26" s="208"/>
      <c r="B26" s="1429" t="s">
        <v>83</v>
      </c>
      <c r="C26" s="1429"/>
      <c r="D26" s="200" t="s">
        <v>5</v>
      </c>
      <c r="E26" s="224"/>
      <c r="F26" s="1266">
        <f>F24-F25</f>
        <v>985181.1369036875</v>
      </c>
      <c r="G26" s="1264"/>
      <c r="H26" s="1264"/>
      <c r="I26" s="1265"/>
      <c r="J26" s="132"/>
      <c r="K26" s="203"/>
      <c r="L26" s="1432" t="str">
        <f>FORM!I28</f>
        <v>selller</v>
      </c>
      <c r="M26" s="1432"/>
      <c r="N26" s="1432"/>
      <c r="O26" s="203"/>
      <c r="P26" s="203"/>
      <c r="Q26" s="1432" t="str">
        <f>FORM!I26</f>
        <v>buyer</v>
      </c>
      <c r="R26" s="1432"/>
      <c r="S26" s="1432"/>
    </row>
    <row r="27" spans="1:19" x14ac:dyDescent="0.35">
      <c r="A27" s="168"/>
      <c r="D27"/>
      <c r="J27" s="132"/>
      <c r="K27" s="132"/>
      <c r="L27" s="233" t="s">
        <v>73</v>
      </c>
      <c r="M27" s="1430"/>
      <c r="N27" s="1431"/>
      <c r="O27" s="132"/>
      <c r="P27" s="132"/>
      <c r="Q27" s="234" t="s">
        <v>74</v>
      </c>
      <c r="R27" s="1430"/>
      <c r="S27" s="1431"/>
    </row>
    <row r="28" spans="1:19" x14ac:dyDescent="0.35">
      <c r="A28" s="168"/>
      <c r="E28" s="225"/>
      <c r="I28" s="203"/>
      <c r="J28" s="203"/>
      <c r="K28" s="132"/>
      <c r="L28" s="7"/>
      <c r="M28" s="7"/>
      <c r="N28" s="235"/>
      <c r="O28" s="7"/>
      <c r="P28" s="7"/>
      <c r="Q28" s="7"/>
      <c r="R28" s="7"/>
      <c r="S28" s="7"/>
    </row>
    <row r="29" spans="1:19" s="207" customFormat="1" x14ac:dyDescent="0.35">
      <c r="A29" s="168"/>
      <c r="B29"/>
      <c r="C29"/>
      <c r="D29" s="135"/>
      <c r="E29"/>
      <c r="F29"/>
      <c r="G29"/>
      <c r="H29"/>
      <c r="I29" s="132"/>
      <c r="J29" s="132"/>
      <c r="K29" s="203"/>
      <c r="L29" s="7"/>
      <c r="M29" s="7"/>
      <c r="N29" s="235"/>
      <c r="O29" s="7"/>
      <c r="P29" s="7"/>
      <c r="Q29" s="7"/>
      <c r="R29" s="7"/>
      <c r="S29" s="7"/>
    </row>
    <row r="30" spans="1:19" x14ac:dyDescent="0.35">
      <c r="A30" s="168"/>
      <c r="B30" s="130" t="s">
        <v>202</v>
      </c>
      <c r="C30" s="226"/>
      <c r="D30" s="203"/>
      <c r="E30" s="203"/>
      <c r="F30" s="203"/>
      <c r="G30" s="203"/>
      <c r="H30" s="203"/>
      <c r="I30" s="203"/>
      <c r="J30" s="132"/>
      <c r="K30" s="132"/>
      <c r="L30" s="7"/>
      <c r="M30" s="7"/>
      <c r="N30" s="235"/>
      <c r="O30" s="7"/>
      <c r="P30" s="7"/>
      <c r="Q30" s="7"/>
      <c r="R30" s="7"/>
      <c r="S30" s="7"/>
    </row>
    <row r="31" spans="1:19" x14ac:dyDescent="0.35">
      <c r="A31" s="168"/>
      <c r="B31" s="203"/>
      <c r="C31" s="203"/>
      <c r="D31" s="203"/>
      <c r="E31" s="203"/>
      <c r="F31" s="203"/>
      <c r="G31" s="203"/>
      <c r="H31" s="203"/>
      <c r="I31" s="203"/>
      <c r="J31" s="132"/>
      <c r="K31" s="132"/>
      <c r="L31" s="1467"/>
      <c r="M31" s="1467"/>
      <c r="N31" s="1467"/>
      <c r="O31" s="7"/>
      <c r="P31" s="7"/>
      <c r="Q31" s="7"/>
      <c r="R31" s="7"/>
      <c r="S31" s="7"/>
    </row>
    <row r="32" spans="1:19" x14ac:dyDescent="0.35">
      <c r="A32" s="168"/>
      <c r="B32" s="1383" t="s">
        <v>164</v>
      </c>
      <c r="C32" s="1383"/>
      <c r="D32" s="1383" t="s">
        <v>162</v>
      </c>
      <c r="E32" s="1383"/>
      <c r="F32" s="1383"/>
      <c r="G32" s="1383"/>
      <c r="H32" s="1383" t="s">
        <v>207</v>
      </c>
      <c r="I32" s="1383"/>
      <c r="J32" s="132"/>
      <c r="K32" s="132"/>
      <c r="L32" s="7"/>
      <c r="M32" s="235"/>
      <c r="N32" s="235"/>
      <c r="O32" s="7"/>
      <c r="P32" s="7"/>
      <c r="Q32" s="7"/>
      <c r="R32" s="7"/>
      <c r="S32" s="7"/>
    </row>
    <row r="33" spans="1:19" x14ac:dyDescent="0.35">
      <c r="A33" s="168"/>
      <c r="B33" s="1422">
        <f>'SPOT EQUITY_30DAYS'!B47</f>
        <v>0</v>
      </c>
      <c r="C33" s="1423"/>
      <c r="D33" s="1422">
        <f>'SPOT EQUITY_30DAYS'!D47:D47</f>
        <v>0</v>
      </c>
      <c r="E33" s="1426"/>
      <c r="F33" s="1426"/>
      <c r="G33" s="1423"/>
      <c r="H33" s="1365">
        <f>'SPOT EQUITY_30DAYS'!G47</f>
        <v>0</v>
      </c>
      <c r="I33" s="1366"/>
      <c r="J33" s="132"/>
      <c r="K33" s="132"/>
      <c r="L33" s="7"/>
      <c r="M33" s="235"/>
      <c r="N33" s="235"/>
      <c r="O33" s="7"/>
      <c r="P33" s="7"/>
      <c r="Q33" s="7"/>
      <c r="R33" s="7"/>
      <c r="S33" s="7"/>
    </row>
    <row r="34" spans="1:19" x14ac:dyDescent="0.35">
      <c r="A34" s="168"/>
      <c r="B34" s="1424"/>
      <c r="C34" s="1425"/>
      <c r="D34" s="1424"/>
      <c r="E34" s="1427"/>
      <c r="F34" s="1427"/>
      <c r="G34" s="1425"/>
      <c r="H34" s="1367"/>
      <c r="I34" s="1368"/>
      <c r="J34" s="132"/>
      <c r="K34" s="132"/>
      <c r="M34" s="136"/>
    </row>
    <row r="35" spans="1:19" x14ac:dyDescent="0.35">
      <c r="A35" s="168"/>
      <c r="B35" s="1422">
        <f>'SPOT EQUITY_30DAYS'!B49</f>
        <v>0</v>
      </c>
      <c r="C35" s="1423"/>
      <c r="D35" s="1422">
        <f>'SPOT EQUITY_30DAYS'!D49:D49</f>
        <v>0</v>
      </c>
      <c r="E35" s="1426"/>
      <c r="F35" s="1426"/>
      <c r="G35" s="1423"/>
      <c r="H35" s="1365">
        <f>'SPOT EQUITY_30DAYS'!G49</f>
        <v>0</v>
      </c>
      <c r="I35" s="1366"/>
      <c r="J35" s="132"/>
      <c r="K35" s="132"/>
    </row>
    <row r="36" spans="1:19" x14ac:dyDescent="0.35">
      <c r="A36" s="168"/>
      <c r="B36" s="1424"/>
      <c r="C36" s="1425"/>
      <c r="D36" s="1424"/>
      <c r="E36" s="1427"/>
      <c r="F36" s="1427"/>
      <c r="G36" s="1425"/>
      <c r="H36" s="1367"/>
      <c r="I36" s="1368"/>
      <c r="J36" s="132"/>
      <c r="K36" s="132"/>
    </row>
    <row r="37" spans="1:19" ht="16.5" customHeight="1" x14ac:dyDescent="0.35">
      <c r="A37" s="168"/>
      <c r="B37" s="1422">
        <f>'SPOT EQUITY_30DAYS'!B51</f>
        <v>0</v>
      </c>
      <c r="C37" s="1423"/>
      <c r="D37" s="1422">
        <f>'SPOT EQUITY_30DAYS'!D51:D51</f>
        <v>0</v>
      </c>
      <c r="E37" s="1426"/>
      <c r="F37" s="1426"/>
      <c r="G37" s="1423"/>
      <c r="H37" s="1365">
        <f>'SPOT EQUITY_30DAYS'!G51</f>
        <v>0</v>
      </c>
      <c r="I37" s="1366"/>
      <c r="J37" s="132"/>
      <c r="K37" s="132"/>
    </row>
    <row r="38" spans="1:19" x14ac:dyDescent="0.35">
      <c r="A38" s="168"/>
      <c r="B38" s="1424"/>
      <c r="C38" s="1425"/>
      <c r="D38" s="1424"/>
      <c r="E38" s="1427"/>
      <c r="F38" s="1427"/>
      <c r="G38" s="1425"/>
      <c r="H38" s="1367"/>
      <c r="I38" s="1368"/>
      <c r="J38" s="132"/>
      <c r="K38" s="132"/>
    </row>
    <row r="39" spans="1:19" ht="16.5" customHeight="1" x14ac:dyDescent="0.35">
      <c r="A39" s="168"/>
      <c r="B39" s="1422">
        <f>'SPOT EQUITY_30DAYS'!B53</f>
        <v>0</v>
      </c>
      <c r="C39" s="1423"/>
      <c r="D39" s="1422">
        <f>'SPOT EQUITY_30DAYS'!D53:D53</f>
        <v>0</v>
      </c>
      <c r="E39" s="1426"/>
      <c r="F39" s="1426"/>
      <c r="G39" s="1423"/>
      <c r="H39" s="1365">
        <f>'SPOT EQUITY_30DAYS'!G53</f>
        <v>0</v>
      </c>
      <c r="I39" s="1366"/>
      <c r="J39" s="132"/>
      <c r="K39" s="132"/>
    </row>
    <row r="40" spans="1:19" x14ac:dyDescent="0.35">
      <c r="A40" s="168"/>
      <c r="B40" s="1424"/>
      <c r="C40" s="1425"/>
      <c r="D40" s="1424"/>
      <c r="E40" s="1427"/>
      <c r="F40" s="1427"/>
      <c r="G40" s="1425"/>
      <c r="H40" s="1367"/>
      <c r="I40" s="1368"/>
      <c r="J40" s="132"/>
      <c r="K40" s="132"/>
    </row>
    <row r="41" spans="1:19" ht="16.5" customHeight="1" x14ac:dyDescent="0.35">
      <c r="A41" s="168"/>
      <c r="B41" s="1422">
        <f>'SPOT EQUITY_30DAYS'!B55</f>
        <v>0</v>
      </c>
      <c r="C41" s="1423"/>
      <c r="D41" s="1422">
        <f>'SPOT EQUITY_30DAYS'!D55:D55</f>
        <v>0</v>
      </c>
      <c r="E41" s="1426"/>
      <c r="F41" s="1426"/>
      <c r="G41" s="1423"/>
      <c r="H41" s="1365">
        <f>'SPOT EQUITY_30DAYS'!G55</f>
        <v>0</v>
      </c>
      <c r="I41" s="1366"/>
      <c r="J41" s="132"/>
      <c r="K41" s="132"/>
    </row>
    <row r="42" spans="1:19" x14ac:dyDescent="0.35">
      <c r="A42" s="168"/>
      <c r="B42" s="1424"/>
      <c r="C42" s="1425"/>
      <c r="D42" s="1424"/>
      <c r="E42" s="1427"/>
      <c r="F42" s="1427"/>
      <c r="G42" s="1425"/>
      <c r="H42" s="1367"/>
      <c r="I42" s="1368"/>
      <c r="J42" s="132"/>
      <c r="K42" s="132"/>
    </row>
    <row r="43" spans="1:19" ht="16.5" customHeight="1" x14ac:dyDescent="0.35">
      <c r="A43" s="168"/>
      <c r="B43" s="1422">
        <f>'SPOT EQUITY_30DAYS'!B57</f>
        <v>0</v>
      </c>
      <c r="C43" s="1423"/>
      <c r="D43" s="1422">
        <f>'SPOT EQUITY_30DAYS'!D57:D57</f>
        <v>0</v>
      </c>
      <c r="E43" s="1426"/>
      <c r="F43" s="1426"/>
      <c r="G43" s="1423"/>
      <c r="H43" s="1365">
        <f>'SPOT EQUITY_30DAYS'!G57</f>
        <v>0</v>
      </c>
      <c r="I43" s="1366"/>
      <c r="J43" s="132"/>
      <c r="K43" s="132"/>
    </row>
    <row r="44" spans="1:19" x14ac:dyDescent="0.35">
      <c r="A44" s="168"/>
      <c r="B44" s="1424"/>
      <c r="C44" s="1425"/>
      <c r="D44" s="1424"/>
      <c r="E44" s="1427"/>
      <c r="F44" s="1427"/>
      <c r="G44" s="1425"/>
      <c r="H44" s="1367"/>
      <c r="I44" s="1368"/>
      <c r="J44" s="132"/>
      <c r="K44" s="132"/>
    </row>
    <row r="45" spans="1:19" ht="12.75" customHeight="1" x14ac:dyDescent="0.35">
      <c r="A45" s="168"/>
      <c r="B45" s="132"/>
      <c r="C45" s="132"/>
      <c r="D45" s="132"/>
      <c r="E45" s="132"/>
      <c r="F45" s="132"/>
      <c r="G45" s="132"/>
      <c r="H45" s="132"/>
      <c r="I45" s="132"/>
      <c r="J45" s="132"/>
      <c r="K45" s="132"/>
    </row>
    <row r="46" spans="1:19" ht="12.75" customHeight="1" x14ac:dyDescent="0.35">
      <c r="A46" s="168"/>
      <c r="B46" s="132"/>
      <c r="C46" s="132"/>
      <c r="D46" s="132"/>
      <c r="E46" s="132"/>
      <c r="F46" s="132"/>
      <c r="G46" s="132"/>
      <c r="H46" s="132"/>
      <c r="I46" s="132"/>
      <c r="J46" s="132"/>
      <c r="K46" s="132"/>
    </row>
    <row r="47" spans="1:19" ht="12.75" customHeight="1" x14ac:dyDescent="0.35">
      <c r="A47" s="168"/>
      <c r="B47" s="133"/>
      <c r="C47" s="240" t="s">
        <v>221</v>
      </c>
      <c r="D47" s="1192"/>
      <c r="E47" s="1192"/>
      <c r="F47" s="1192"/>
      <c r="G47" s="1192"/>
      <c r="H47" s="132"/>
      <c r="I47" s="132"/>
      <c r="J47" s="132"/>
      <c r="K47" s="132"/>
    </row>
    <row r="48" spans="1:19" ht="12.75" customHeight="1" x14ac:dyDescent="0.35">
      <c r="A48" s="168"/>
      <c r="B48" s="227"/>
      <c r="C48" s="123"/>
      <c r="D48" s="123"/>
      <c r="E48" s="123"/>
      <c r="F48" s="132"/>
      <c r="G48" s="132"/>
      <c r="H48" s="132"/>
      <c r="I48" s="132"/>
      <c r="J48" s="132"/>
      <c r="K48" s="132"/>
    </row>
    <row r="49" spans="1:11" ht="12.75" customHeight="1" x14ac:dyDescent="0.35">
      <c r="A49" s="168"/>
      <c r="B49" s="227"/>
      <c r="C49" s="123"/>
      <c r="D49" s="123"/>
      <c r="E49" s="123"/>
      <c r="F49" s="132"/>
      <c r="G49" s="132"/>
      <c r="H49" s="132"/>
      <c r="I49" s="132"/>
      <c r="J49" s="132"/>
      <c r="K49" s="132"/>
    </row>
    <row r="50" spans="1:11" ht="12.75" customHeight="1" x14ac:dyDescent="0.35">
      <c r="A50" s="168"/>
      <c r="B50" s="227"/>
      <c r="C50" s="123"/>
      <c r="D50" s="123"/>
      <c r="E50" s="123"/>
      <c r="F50" s="132"/>
      <c r="G50" s="132"/>
      <c r="H50" s="132"/>
      <c r="I50" s="132"/>
      <c r="J50" s="132"/>
      <c r="K50" s="132"/>
    </row>
    <row r="51" spans="1:11" ht="12.75" customHeight="1" x14ac:dyDescent="0.35">
      <c r="A51" s="168"/>
      <c r="B51" s="227"/>
      <c r="C51" s="123"/>
      <c r="D51" s="123"/>
      <c r="E51" s="123"/>
      <c r="F51" s="132"/>
      <c r="G51" s="132"/>
      <c r="H51" s="132"/>
      <c r="I51" s="132"/>
      <c r="J51" s="132"/>
      <c r="K51" s="132"/>
    </row>
    <row r="52" spans="1:11" ht="12.75" customHeight="1" x14ac:dyDescent="0.35">
      <c r="A52" s="168"/>
      <c r="B52" s="227"/>
      <c r="C52" s="123"/>
      <c r="D52" s="123"/>
      <c r="E52" s="123"/>
      <c r="F52" s="132"/>
      <c r="G52" s="132"/>
      <c r="H52" s="132"/>
      <c r="I52" s="132"/>
      <c r="J52" s="132"/>
      <c r="K52" s="132"/>
    </row>
    <row r="53" spans="1:11" ht="12.75" customHeight="1" x14ac:dyDescent="0.35">
      <c r="A53" s="168"/>
      <c r="B53" s="227"/>
      <c r="C53" s="123"/>
      <c r="D53" s="123"/>
      <c r="E53" s="123"/>
      <c r="F53" s="132"/>
      <c r="G53" s="132"/>
      <c r="H53" s="132"/>
      <c r="I53" s="132"/>
      <c r="J53" s="132"/>
      <c r="K53" s="132"/>
    </row>
    <row r="54" spans="1:11" ht="12.75" customHeight="1" x14ac:dyDescent="0.35">
      <c r="A54" s="168"/>
      <c r="B54" s="227"/>
      <c r="C54" s="123"/>
      <c r="D54" s="123"/>
      <c r="E54" s="123"/>
      <c r="F54" s="132"/>
      <c r="G54" s="132"/>
      <c r="H54" s="132"/>
      <c r="I54" s="132"/>
      <c r="J54" s="132"/>
      <c r="K54" s="132"/>
    </row>
    <row r="55" spans="1:11" ht="12.75" customHeight="1" x14ac:dyDescent="0.35">
      <c r="A55" s="168"/>
      <c r="B55" s="227"/>
      <c r="C55" s="123"/>
      <c r="D55" s="123"/>
      <c r="E55" s="123"/>
      <c r="F55" s="132"/>
      <c r="G55" s="132"/>
      <c r="H55" s="132"/>
      <c r="I55" s="132"/>
      <c r="J55" s="132"/>
      <c r="K55" s="132"/>
    </row>
    <row r="56" spans="1:11" ht="12.75" customHeight="1" x14ac:dyDescent="0.35">
      <c r="A56" s="168"/>
      <c r="B56" s="227"/>
      <c r="C56" s="123"/>
      <c r="D56" s="123"/>
      <c r="E56" s="123"/>
      <c r="F56" s="132"/>
      <c r="G56" s="132"/>
      <c r="H56" s="132"/>
      <c r="I56" s="132"/>
      <c r="J56" s="132"/>
      <c r="K56" s="132"/>
    </row>
    <row r="57" spans="1:11" ht="12.75" customHeight="1" x14ac:dyDescent="0.35">
      <c r="A57" s="168"/>
      <c r="B57" s="227"/>
      <c r="C57" s="123"/>
      <c r="D57" s="123"/>
      <c r="E57" s="123"/>
      <c r="F57" s="132"/>
      <c r="G57" s="132"/>
      <c r="H57" s="132"/>
      <c r="I57" s="132"/>
      <c r="J57" s="132"/>
      <c r="K57" s="132"/>
    </row>
    <row r="58" spans="1:11" ht="12.75" customHeight="1" x14ac:dyDescent="0.35">
      <c r="A58" s="168"/>
      <c r="B58" s="132"/>
      <c r="C58" s="132"/>
      <c r="D58" s="231"/>
      <c r="E58" s="132"/>
      <c r="F58" s="132"/>
      <c r="G58" s="132"/>
      <c r="H58" s="132"/>
      <c r="I58" s="132"/>
      <c r="J58" s="132"/>
      <c r="K58" s="132"/>
    </row>
    <row r="59" spans="1:11" ht="12.75" customHeight="1" x14ac:dyDescent="0.35">
      <c r="A59" s="168"/>
      <c r="B59" s="132"/>
      <c r="C59" s="132"/>
      <c r="D59" s="231"/>
      <c r="E59" s="132"/>
      <c r="F59" s="132"/>
      <c r="G59" s="132"/>
      <c r="H59" s="132"/>
      <c r="I59" s="132"/>
      <c r="J59" s="132"/>
      <c r="K59" s="132"/>
    </row>
    <row r="60" spans="1:11" ht="12.75" customHeight="1" x14ac:dyDescent="0.35">
      <c r="A60" s="168"/>
      <c r="B60" s="203" t="s">
        <v>70</v>
      </c>
      <c r="C60" s="203"/>
      <c r="D60" s="228"/>
      <c r="E60" s="203"/>
      <c r="G60" s="203" t="s">
        <v>71</v>
      </c>
      <c r="H60" s="132"/>
      <c r="I60" s="132"/>
      <c r="J60" s="132"/>
      <c r="K60" s="132"/>
    </row>
    <row r="61" spans="1:11" x14ac:dyDescent="0.35">
      <c r="A61" s="168"/>
      <c r="B61" s="132"/>
      <c r="C61" s="132"/>
      <c r="D61" s="231"/>
      <c r="E61" s="132"/>
      <c r="F61" s="132"/>
      <c r="G61" s="132"/>
      <c r="H61" s="132"/>
      <c r="I61" s="132"/>
      <c r="J61" s="132"/>
      <c r="K61" s="132"/>
    </row>
    <row r="62" spans="1:11" x14ac:dyDescent="0.35">
      <c r="A62" s="168"/>
      <c r="B62" s="132"/>
      <c r="C62" s="132"/>
      <c r="D62" s="231"/>
      <c r="E62" s="132"/>
      <c r="F62" s="132"/>
      <c r="G62" s="132"/>
      <c r="H62" s="132"/>
      <c r="I62" s="132"/>
      <c r="J62" s="203"/>
      <c r="K62" s="132"/>
    </row>
    <row r="63" spans="1:11" ht="12.75" customHeight="1" x14ac:dyDescent="0.35">
      <c r="A63" s="168"/>
      <c r="B63" s="1432" t="str">
        <f>FORM!I28</f>
        <v>selller</v>
      </c>
      <c r="C63" s="1432"/>
      <c r="D63" s="1432"/>
      <c r="E63" s="203"/>
      <c r="F63" s="203"/>
      <c r="G63" s="1432" t="str">
        <f>FORM!I26</f>
        <v>buyer</v>
      </c>
      <c r="H63" s="1432"/>
      <c r="I63" s="1432"/>
      <c r="J63" s="132"/>
      <c r="K63" s="132"/>
    </row>
    <row r="64" spans="1:11" ht="12.75" customHeight="1" x14ac:dyDescent="0.35">
      <c r="A64" s="168"/>
      <c r="B64" s="247" t="s">
        <v>74</v>
      </c>
      <c r="C64" s="1428"/>
      <c r="D64" s="1236"/>
      <c r="E64" s="123"/>
      <c r="F64" s="123"/>
      <c r="G64" s="134" t="s">
        <v>74</v>
      </c>
      <c r="H64" s="1428"/>
      <c r="I64" s="1236"/>
      <c r="J64" s="132"/>
      <c r="K64" s="132"/>
    </row>
    <row r="65" spans="1:11" ht="12.75" customHeight="1" x14ac:dyDescent="0.35">
      <c r="A65" s="168"/>
      <c r="B65" s="132"/>
      <c r="C65" s="132"/>
      <c r="D65" s="231"/>
      <c r="E65" s="132"/>
      <c r="F65" s="132"/>
      <c r="G65" s="132"/>
      <c r="H65" s="132"/>
      <c r="I65" s="132"/>
      <c r="J65" s="132"/>
      <c r="K65" s="132"/>
    </row>
    <row r="66" spans="1:11" ht="12.75" customHeight="1" x14ac:dyDescent="0.35">
      <c r="B66" s="132"/>
      <c r="C66" s="132"/>
      <c r="D66" s="231"/>
      <c r="E66" s="132"/>
      <c r="F66" s="132"/>
      <c r="G66" s="132"/>
      <c r="H66" s="132"/>
      <c r="I66" s="132"/>
      <c r="J66" s="7"/>
      <c r="K66" s="203"/>
    </row>
    <row r="67" spans="1:11" ht="12.75" customHeight="1" x14ac:dyDescent="0.35">
      <c r="B67" s="7"/>
      <c r="C67" s="7"/>
      <c r="D67" s="101"/>
      <c r="E67" s="7"/>
      <c r="F67" s="7"/>
      <c r="G67" s="7"/>
      <c r="H67" s="7"/>
      <c r="I67" s="7"/>
      <c r="J67" s="7"/>
      <c r="K67" s="7"/>
    </row>
    <row r="68" spans="1:11" x14ac:dyDescent="0.35">
      <c r="B68" s="7"/>
      <c r="C68" s="7"/>
      <c r="D68" s="101"/>
      <c r="E68" s="7"/>
      <c r="F68" s="7"/>
      <c r="G68" s="7"/>
      <c r="H68" s="7"/>
      <c r="I68" s="7"/>
      <c r="J68" s="7"/>
      <c r="K68" s="7"/>
    </row>
    <row r="69" spans="1:11" x14ac:dyDescent="0.35">
      <c r="B69" s="7"/>
      <c r="C69" s="7"/>
      <c r="D69" s="101"/>
      <c r="E69" s="7"/>
      <c r="F69" s="7"/>
      <c r="G69" s="7"/>
      <c r="H69" s="7"/>
      <c r="I69" s="7"/>
      <c r="J69" s="7"/>
      <c r="K69" s="7"/>
    </row>
    <row r="70" spans="1:11" x14ac:dyDescent="0.35">
      <c r="A70" s="236">
        <f>F17*E19</f>
        <v>99934.507471500008</v>
      </c>
      <c r="B70" s="7"/>
      <c r="C70" s="7"/>
      <c r="D70" s="101"/>
      <c r="E70" s="7"/>
      <c r="F70" s="7"/>
      <c r="G70" s="7"/>
      <c r="H70" s="7"/>
      <c r="I70" s="7"/>
      <c r="J70" s="7"/>
      <c r="K70" s="7"/>
    </row>
    <row r="71" spans="1:11" x14ac:dyDescent="0.35">
      <c r="B71" s="7"/>
      <c r="C71" s="7"/>
      <c r="D71" s="101"/>
      <c r="E71" s="7"/>
      <c r="F71" s="7"/>
      <c r="G71" s="7"/>
      <c r="H71" s="7"/>
      <c r="I71" s="7"/>
      <c r="J71" s="7"/>
      <c r="K71" s="7"/>
    </row>
    <row r="72" spans="1:11" x14ac:dyDescent="0.35">
      <c r="A72" s="237">
        <f>F17*12%</f>
        <v>99934.507471500008</v>
      </c>
      <c r="B72" s="7"/>
      <c r="C72" s="7"/>
      <c r="D72" s="101"/>
      <c r="E72" s="7"/>
      <c r="F72" s="7"/>
      <c r="G72" s="7"/>
      <c r="H72" s="7"/>
      <c r="I72" s="7"/>
      <c r="K72" s="7"/>
    </row>
    <row r="73" spans="1:11" x14ac:dyDescent="0.35">
      <c r="K73" s="7"/>
    </row>
    <row r="74" spans="1:11" x14ac:dyDescent="0.35">
      <c r="K74" s="7"/>
    </row>
    <row r="75" spans="1:11" x14ac:dyDescent="0.35">
      <c r="K75" s="7"/>
    </row>
  </sheetData>
  <sheetProtection algorithmName="SHA-512" hashValue="baOTN/bUfHHjUoYgnA4GwLE3K7dJNGVdhTYuRHL8a/oPhzQxWPSwKxsF2qcZlBxhl6M/o4NLj8F6weRxMaWK6Q==" saltValue="cYTfmjjJB8k3N3jMXizlwQ==" spinCount="100000" sheet="1" formatCells="0" formatColumns="0" formatRows="0"/>
  <mergeCells count="75">
    <mergeCell ref="F22:H22"/>
    <mergeCell ref="F19:H19"/>
    <mergeCell ref="F24:I24"/>
    <mergeCell ref="F25:I25"/>
    <mergeCell ref="F20:H20"/>
    <mergeCell ref="Q26:S26"/>
    <mergeCell ref="L31:N31"/>
    <mergeCell ref="F26:I26"/>
    <mergeCell ref="L26:N26"/>
    <mergeCell ref="B24:C24"/>
    <mergeCell ref="B25:C25"/>
    <mergeCell ref="R27:S27"/>
    <mergeCell ref="F18:I18"/>
    <mergeCell ref="Q18:R18"/>
    <mergeCell ref="F17:I17"/>
    <mergeCell ref="Q14:S15"/>
    <mergeCell ref="Q16:S16"/>
    <mergeCell ref="Q17:S17"/>
    <mergeCell ref="L17:M17"/>
    <mergeCell ref="L16:M16"/>
    <mergeCell ref="O16:P16"/>
    <mergeCell ref="O17:P17"/>
    <mergeCell ref="F16:I16"/>
    <mergeCell ref="L18:M18"/>
    <mergeCell ref="O18:P18"/>
    <mergeCell ref="O12:P12"/>
    <mergeCell ref="L14:M15"/>
    <mergeCell ref="N14:N15"/>
    <mergeCell ref="O14:P15"/>
    <mergeCell ref="H2:I2"/>
    <mergeCell ref="E7:I7"/>
    <mergeCell ref="E8:I8"/>
    <mergeCell ref="E9:I9"/>
    <mergeCell ref="E10:I10"/>
    <mergeCell ref="B4:I5"/>
    <mergeCell ref="E11:I11"/>
    <mergeCell ref="F15:H15"/>
    <mergeCell ref="F14:H14"/>
    <mergeCell ref="E12:F12"/>
    <mergeCell ref="R2:S2"/>
    <mergeCell ref="O11:S11"/>
    <mergeCell ref="R3:S3"/>
    <mergeCell ref="O9:S9"/>
    <mergeCell ref="O10:S10"/>
    <mergeCell ref="L4:S5"/>
    <mergeCell ref="O7:S7"/>
    <mergeCell ref="O8:S8"/>
    <mergeCell ref="C64:D64"/>
    <mergeCell ref="H64:I64"/>
    <mergeCell ref="B26:C26"/>
    <mergeCell ref="M27:N27"/>
    <mergeCell ref="B63:D63"/>
    <mergeCell ref="H32:I32"/>
    <mergeCell ref="D32:G32"/>
    <mergeCell ref="B32:C32"/>
    <mergeCell ref="H43:I44"/>
    <mergeCell ref="D43:G44"/>
    <mergeCell ref="B43:C44"/>
    <mergeCell ref="G63:I63"/>
    <mergeCell ref="D47:G47"/>
    <mergeCell ref="B33:C34"/>
    <mergeCell ref="D33:G34"/>
    <mergeCell ref="H33:I34"/>
    <mergeCell ref="B35:C36"/>
    <mergeCell ref="D35:G36"/>
    <mergeCell ref="H35:I36"/>
    <mergeCell ref="B37:C38"/>
    <mergeCell ref="D37:G38"/>
    <mergeCell ref="H37:I38"/>
    <mergeCell ref="B39:C40"/>
    <mergeCell ref="D39:G40"/>
    <mergeCell ref="H39:I40"/>
    <mergeCell ref="B41:C42"/>
    <mergeCell ref="D41:G42"/>
    <mergeCell ref="H41:I42"/>
  </mergeCells>
  <pageMargins left="0.59055118110236227" right="0.59055118110236227" top="0.98425196850393704" bottom="0.74803149606299213" header="0.31496062992125984" footer="0.31496062992125984"/>
  <pageSetup paperSize="14" scale="75" orientation="portrait" r:id="rId1"/>
  <headerFooter>
    <oddHeader xml:space="preserve">&amp;R&amp;"Century Gothic,Bold"&amp;18ANNEX A: 
SAMPLE PACKAGE COMPUTATION
</oddHeader>
  </headerFooter>
  <colBreaks count="1" manualBreakCount="1">
    <brk id="10" max="6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dimension ref="A1:U123"/>
  <sheetViews>
    <sheetView showGridLines="0" showZeros="0" view="pageLayout" topLeftCell="A96" zoomScaleNormal="100" zoomScaleSheetLayoutView="85" workbookViewId="0">
      <selection activeCell="C112" sqref="C112"/>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48"/>
      <c r="E21" s="1474"/>
      <c r="F21" s="1349"/>
      <c r="G21" s="50" t="s">
        <v>136</v>
      </c>
      <c r="H21" s="51"/>
      <c r="I21" s="52"/>
      <c r="J21" s="1330" t="str">
        <f>FORM!I14</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'SPOT EQUITY_30DAYS'!E12</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62"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419">
        <f>'SPOT CASH_30 DAYS'!F14</f>
        <v>832787.56226250005</v>
      </c>
      <c r="J27" s="1420"/>
      <c r="K27" s="1420"/>
      <c r="L27" s="1420"/>
      <c r="M27" s="1420"/>
      <c r="N27" s="1420"/>
      <c r="O27" s="1420"/>
      <c r="P27" s="1420"/>
      <c r="Q27" s="1420"/>
      <c r="R27" s="1420"/>
      <c r="S27" s="1420"/>
      <c r="T27" s="1420"/>
      <c r="U27" s="1421"/>
    </row>
    <row r="28" spans="1:21" ht="14" x14ac:dyDescent="0.3">
      <c r="A28" s="50" t="s">
        <v>147</v>
      </c>
      <c r="B28" s="51"/>
      <c r="C28" s="53"/>
      <c r="D28" s="53"/>
      <c r="E28" s="53"/>
      <c r="F28" s="53"/>
      <c r="G28" s="53"/>
      <c r="H28" s="54"/>
      <c r="I28" s="1317">
        <f>'SPOT CASH_30 DAYS'!F15+'SPOT CASH_30 DAYS'!F16</f>
        <v>0</v>
      </c>
      <c r="J28" s="1318"/>
      <c r="K28" s="1318"/>
      <c r="L28" s="1318"/>
      <c r="M28" s="1318"/>
      <c r="N28" s="1318"/>
      <c r="O28" s="1318"/>
      <c r="P28" s="1318"/>
      <c r="Q28" s="1318"/>
      <c r="R28" s="1318"/>
      <c r="S28" s="1318"/>
      <c r="T28" s="1318"/>
      <c r="U28" s="1319"/>
    </row>
    <row r="29" spans="1:21" ht="14" x14ac:dyDescent="0.3">
      <c r="A29" s="60" t="s">
        <v>81</v>
      </c>
      <c r="B29" s="61"/>
      <c r="C29" s="62"/>
      <c r="D29" s="62"/>
      <c r="E29" s="62"/>
      <c r="F29" s="62"/>
      <c r="G29" s="62"/>
      <c r="H29" s="59"/>
      <c r="I29" s="1419">
        <f>'SPOT CASH_30 DAYS'!F17</f>
        <v>832787.56226250005</v>
      </c>
      <c r="J29" s="1420"/>
      <c r="K29" s="1420"/>
      <c r="L29" s="1420"/>
      <c r="M29" s="1420"/>
      <c r="N29" s="1420"/>
      <c r="O29" s="1420"/>
      <c r="P29" s="1420"/>
      <c r="Q29" s="1420"/>
      <c r="R29" s="1420"/>
      <c r="S29" s="1420"/>
      <c r="T29" s="1420"/>
      <c r="U29" s="1421"/>
    </row>
    <row r="30" spans="1:21" ht="14" x14ac:dyDescent="0.3">
      <c r="A30" s="50" t="s">
        <v>148</v>
      </c>
      <c r="B30" s="51"/>
      <c r="C30" s="53"/>
      <c r="D30" s="53"/>
      <c r="E30" s="53"/>
      <c r="F30" s="53"/>
      <c r="G30" s="53"/>
      <c r="H30" s="54"/>
      <c r="I30" s="1419">
        <f>'SPOT CASH_30 DAYS'!F20</f>
        <v>62459.0671696875</v>
      </c>
      <c r="J30" s="1420"/>
      <c r="K30" s="1420"/>
      <c r="L30" s="1420"/>
      <c r="M30" s="1420"/>
      <c r="N30" s="1420"/>
      <c r="O30" s="1420"/>
      <c r="P30" s="1420"/>
      <c r="Q30" s="1420"/>
      <c r="R30" s="1420"/>
      <c r="S30" s="1420"/>
      <c r="T30" s="1420"/>
      <c r="U30" s="1421"/>
    </row>
    <row r="31" spans="1:21" ht="14" x14ac:dyDescent="0.3">
      <c r="A31" s="50" t="s">
        <v>149</v>
      </c>
      <c r="B31" s="51"/>
      <c r="C31" s="53"/>
      <c r="D31" s="53"/>
      <c r="E31" s="53"/>
      <c r="F31" s="53"/>
      <c r="G31" s="53"/>
      <c r="H31" s="54"/>
      <c r="I31" s="1419">
        <f>'SPOT CASH_30 DAYS'!F19</f>
        <v>99934.507471500008</v>
      </c>
      <c r="J31" s="1420"/>
      <c r="K31" s="1420"/>
      <c r="L31" s="1420"/>
      <c r="M31" s="1420"/>
      <c r="N31" s="1420"/>
      <c r="O31" s="1420"/>
      <c r="P31" s="1420"/>
      <c r="Q31" s="1420"/>
      <c r="R31" s="1420"/>
      <c r="S31" s="1420"/>
      <c r="T31" s="1420"/>
      <c r="U31" s="1421"/>
    </row>
    <row r="32" spans="1:21" ht="14" x14ac:dyDescent="0.3">
      <c r="A32" s="50" t="s">
        <v>150</v>
      </c>
      <c r="B32" s="51"/>
      <c r="C32" s="53"/>
      <c r="D32" s="53"/>
      <c r="E32" s="53"/>
      <c r="F32" s="53"/>
      <c r="G32" s="53"/>
      <c r="H32" s="54"/>
      <c r="I32" s="1419">
        <f>'SPOT CASH_30 DAYS'!F22</f>
        <v>995181.1369036875</v>
      </c>
      <c r="J32" s="1420"/>
      <c r="K32" s="1420"/>
      <c r="L32" s="1420"/>
      <c r="M32" s="1420"/>
      <c r="N32" s="1420"/>
      <c r="O32" s="1420"/>
      <c r="P32" s="1420"/>
      <c r="Q32" s="1420"/>
      <c r="R32" s="1420"/>
      <c r="S32" s="1420"/>
      <c r="T32" s="1420"/>
      <c r="U32" s="1421"/>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71683"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1684"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1685"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1686"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1687"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1688"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1689"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71690"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71691"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1692"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1693"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1694"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1695"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1696"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1697"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1698"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1699"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rgb="FFFF0000"/>
  </sheetPr>
  <dimension ref="A1:BA65"/>
  <sheetViews>
    <sheetView showGridLines="0" showZeros="0" showRuler="0" view="pageLayout" topLeftCell="A7" zoomScale="90" zoomScaleNormal="100" zoomScaleSheetLayoutView="80" zoomScalePageLayoutView="90" workbookViewId="0">
      <selection activeCell="F24" sqref="F24:I24"/>
    </sheetView>
  </sheetViews>
  <sheetFormatPr defaultColWidth="9.1796875" defaultRowHeight="14.5" x14ac:dyDescent="0.35"/>
  <cols>
    <col min="1" max="1" width="2.1796875" customWidth="1"/>
    <col min="2" max="2" width="11.1796875" customWidth="1"/>
    <col min="3" max="3" width="20.1796875" customWidth="1"/>
    <col min="4" max="4" width="13.1796875" style="135" customWidth="1"/>
    <col min="5" max="5" width="14" customWidth="1"/>
    <col min="6" max="6" width="22.54296875" customWidth="1"/>
    <col min="7" max="7" width="3.1796875" customWidth="1"/>
    <col min="8" max="8" width="11.1796875" customWidth="1"/>
    <col min="9" max="9" width="14.54296875" customWidth="1"/>
    <col min="10" max="10" width="0.81640625" customWidth="1"/>
    <col min="11" max="11" width="0.453125" customWidth="1"/>
    <col min="13" max="13" width="18.453125" customWidth="1"/>
    <col min="14" max="14" width="16.1796875" style="136" customWidth="1"/>
    <col min="15" max="15" width="8" customWidth="1"/>
    <col min="16" max="16" width="15.453125" customWidth="1"/>
    <col min="17" max="17" width="16.1796875" customWidth="1"/>
    <col min="18" max="18" width="4.81640625" customWidth="1"/>
    <col min="19" max="19" width="22.54296875" customWidth="1"/>
  </cols>
  <sheetData>
    <row r="1" spans="1:53" s="158" customFormat="1" ht="13" x14ac:dyDescent="0.3">
      <c r="A1" s="122"/>
      <c r="B1" s="102" t="s">
        <v>2</v>
      </c>
      <c r="C1" s="499">
        <f>FORM!I20</f>
        <v>45901</v>
      </c>
      <c r="D1" s="238"/>
      <c r="F1" s="238"/>
      <c r="G1" s="238"/>
      <c r="H1" s="180" t="s">
        <v>92</v>
      </c>
      <c r="I1" s="515" t="s">
        <v>88</v>
      </c>
      <c r="J1" s="138"/>
      <c r="K1" s="122"/>
      <c r="L1" s="239" t="s">
        <v>2</v>
      </c>
      <c r="M1" s="499">
        <f>C1</f>
        <v>45901</v>
      </c>
      <c r="N1" s="238"/>
      <c r="O1" s="122"/>
      <c r="Q1" s="239" t="s">
        <v>92</v>
      </c>
      <c r="R1" s="1494" t="s">
        <v>90</v>
      </c>
      <c r="S1" s="1494"/>
      <c r="T1" s="122"/>
    </row>
    <row r="2" spans="1:53" s="6" customFormat="1" ht="12.5" x14ac:dyDescent="0.25">
      <c r="A2" s="105"/>
      <c r="B2" s="105"/>
      <c r="C2" s="106"/>
      <c r="D2" s="106"/>
      <c r="E2" s="105"/>
      <c r="F2" s="105"/>
      <c r="G2" s="107"/>
      <c r="H2" s="107"/>
      <c r="I2" s="107"/>
      <c r="J2" s="111"/>
      <c r="K2" s="107"/>
      <c r="L2" s="105"/>
      <c r="M2" s="106"/>
      <c r="N2" s="106"/>
      <c r="O2" s="105"/>
      <c r="P2" s="105"/>
      <c r="Q2" s="105"/>
      <c r="R2" s="1438"/>
      <c r="S2" s="1438"/>
      <c r="T2" s="105"/>
    </row>
    <row r="3" spans="1:53" s="143" customFormat="1" ht="12.75" customHeight="1" x14ac:dyDescent="0.3">
      <c r="A3" s="107"/>
      <c r="B3" s="1214" t="s">
        <v>169</v>
      </c>
      <c r="C3" s="1214"/>
      <c r="D3" s="1214"/>
      <c r="E3" s="1214"/>
      <c r="F3" s="1214"/>
      <c r="G3" s="1214"/>
      <c r="H3" s="1214"/>
      <c r="I3" s="1214"/>
      <c r="J3" s="183"/>
      <c r="K3" s="184"/>
      <c r="L3" s="1214" t="s">
        <v>3</v>
      </c>
      <c r="M3" s="1214"/>
      <c r="N3" s="1214"/>
      <c r="O3" s="1214"/>
      <c r="P3" s="1214"/>
      <c r="Q3" s="1214"/>
      <c r="R3" s="1214"/>
      <c r="S3" s="1214"/>
      <c r="T3" s="105"/>
    </row>
    <row r="4" spans="1:53" s="143" customFormat="1" ht="12.75" customHeight="1" x14ac:dyDescent="0.3">
      <c r="A4" s="107"/>
      <c r="B4" s="1214"/>
      <c r="C4" s="1214"/>
      <c r="D4" s="1214"/>
      <c r="E4" s="1214"/>
      <c r="F4" s="1214"/>
      <c r="G4" s="1214"/>
      <c r="H4" s="1214"/>
      <c r="I4" s="1214"/>
      <c r="J4" s="183"/>
      <c r="K4" s="184"/>
      <c r="L4" s="1214"/>
      <c r="M4" s="1214"/>
      <c r="N4" s="1214"/>
      <c r="O4" s="1214"/>
      <c r="P4" s="1214"/>
      <c r="Q4" s="1214"/>
      <c r="R4" s="1214"/>
      <c r="S4" s="1214"/>
      <c r="T4" s="105"/>
    </row>
    <row r="5" spans="1:53" s="143" customFormat="1" ht="12.75" customHeight="1" x14ac:dyDescent="0.3">
      <c r="A5" s="107"/>
      <c r="B5" s="185"/>
      <c r="C5" s="185"/>
      <c r="D5" s="186"/>
      <c r="E5" s="185"/>
      <c r="F5" s="185"/>
      <c r="G5" s="185"/>
      <c r="H5" s="185"/>
      <c r="I5" s="185"/>
      <c r="J5" s="185"/>
      <c r="K5" s="185"/>
      <c r="L5" s="112"/>
      <c r="M5" s="113"/>
      <c r="N5" s="115"/>
      <c r="O5" s="113"/>
      <c r="P5" s="113"/>
      <c r="Q5" s="113"/>
      <c r="R5" s="113"/>
      <c r="S5" s="115"/>
      <c r="T5" s="105"/>
    </row>
    <row r="6" spans="1:53" s="682" customFormat="1" ht="12.5" x14ac:dyDescent="0.25">
      <c r="A6" s="123"/>
      <c r="B6" s="391" t="str">
        <f>'SPOT CASH_30 DAYS'!L7</f>
        <v>CLIENT'S NAME</v>
      </c>
      <c r="C6" s="392"/>
      <c r="D6" s="194" t="s">
        <v>5</v>
      </c>
      <c r="E6" s="1205" t="str">
        <f>FORM!I26</f>
        <v>buyer</v>
      </c>
      <c r="F6" s="1205"/>
      <c r="G6" s="1205"/>
      <c r="H6" s="1205"/>
      <c r="I6" s="1205"/>
      <c r="J6" s="125"/>
      <c r="K6" s="200"/>
      <c r="L6" s="391" t="str">
        <f>B6</f>
        <v>CLIENT'S NAME</v>
      </c>
      <c r="M6" s="396"/>
      <c r="N6" s="194" t="s">
        <v>5</v>
      </c>
      <c r="O6" s="1205" t="str">
        <f t="shared" ref="O6:O11" si="0">E6</f>
        <v>buyer</v>
      </c>
      <c r="P6" s="1205"/>
      <c r="Q6" s="1205"/>
      <c r="R6" s="1205"/>
      <c r="S6" s="1205"/>
      <c r="T6" s="122"/>
      <c r="AM6" s="683"/>
      <c r="AZ6" s="684"/>
      <c r="BA6" s="685"/>
    </row>
    <row r="7" spans="1:53" s="682" customFormat="1" ht="12.5" x14ac:dyDescent="0.25">
      <c r="A7" s="123"/>
      <c r="B7" s="391" t="str">
        <f>'SPOT CASH_30 DAYS'!L8</f>
        <v>PROJECT NAME</v>
      </c>
      <c r="C7" s="393"/>
      <c r="D7" s="194" t="s">
        <v>5</v>
      </c>
      <c r="E7" s="1205" t="str">
        <f>FORM!I11</f>
        <v>The Southprime Flats</v>
      </c>
      <c r="F7" s="1205"/>
      <c r="G7" s="1205"/>
      <c r="H7" s="1205"/>
      <c r="I7" s="1205"/>
      <c r="J7" s="125"/>
      <c r="K7" s="200"/>
      <c r="L7" s="391" t="str">
        <f t="shared" ref="L7:L11" si="1">B7</f>
        <v>PROJECT NAME</v>
      </c>
      <c r="M7" s="213"/>
      <c r="N7" s="194" t="s">
        <v>5</v>
      </c>
      <c r="O7" s="1205" t="str">
        <f t="shared" si="0"/>
        <v>The Southprime Flats</v>
      </c>
      <c r="P7" s="1205"/>
      <c r="Q7" s="1205"/>
      <c r="R7" s="1205"/>
      <c r="S7" s="1205"/>
      <c r="T7" s="122"/>
      <c r="AM7" s="683"/>
      <c r="AZ7" s="684"/>
      <c r="BA7" s="685"/>
    </row>
    <row r="8" spans="1:53" s="682" customFormat="1" ht="12.5" x14ac:dyDescent="0.25">
      <c r="A8" s="123"/>
      <c r="B8" s="391" t="str">
        <f>'SPOT CASH_30 DAYS'!L9</f>
        <v>PARKING SLOT NUMBER</v>
      </c>
      <c r="C8" s="393"/>
      <c r="D8" s="194" t="s">
        <v>5</v>
      </c>
      <c r="E8" s="1205" t="str">
        <f>'STANDARD COMP.'!E8</f>
        <v>GF-B1-12</v>
      </c>
      <c r="F8" s="1205"/>
      <c r="G8" s="1205"/>
      <c r="H8" s="1205"/>
      <c r="I8" s="1205"/>
      <c r="J8" s="125"/>
      <c r="K8" s="200"/>
      <c r="L8" s="391" t="str">
        <f t="shared" si="1"/>
        <v>PARKING SLOT NUMBER</v>
      </c>
      <c r="M8" s="213"/>
      <c r="N8" s="194" t="s">
        <v>5</v>
      </c>
      <c r="O8" s="1205" t="str">
        <f t="shared" si="0"/>
        <v>GF-B1-12</v>
      </c>
      <c r="P8" s="1205"/>
      <c r="Q8" s="1205"/>
      <c r="R8" s="1205"/>
      <c r="S8" s="1205"/>
      <c r="T8" s="122"/>
      <c r="AM8" s="683"/>
      <c r="AZ8" s="684"/>
      <c r="BA8" s="685"/>
    </row>
    <row r="9" spans="1:53" s="682" customFormat="1" ht="12.5" x14ac:dyDescent="0.25">
      <c r="A9" s="123"/>
      <c r="B9" s="391" t="str">
        <f>'SPOT CASH_30 DAYS'!L10</f>
        <v>BUILDING</v>
      </c>
      <c r="C9" s="393"/>
      <c r="D9" s="194" t="s">
        <v>5</v>
      </c>
      <c r="E9" s="1205" t="str">
        <f>'STANDARD COMP.'!N9</f>
        <v>Building 1</v>
      </c>
      <c r="F9" s="1205"/>
      <c r="G9" s="1205"/>
      <c r="H9" s="1205"/>
      <c r="I9" s="1205"/>
      <c r="J9" s="125"/>
      <c r="K9" s="200"/>
      <c r="L9" s="391" t="str">
        <f t="shared" si="1"/>
        <v>BUILDING</v>
      </c>
      <c r="M9" s="213"/>
      <c r="N9" s="194" t="s">
        <v>5</v>
      </c>
      <c r="O9" s="1205" t="str">
        <f t="shared" si="0"/>
        <v>Building 1</v>
      </c>
      <c r="P9" s="1205"/>
      <c r="Q9" s="1205"/>
      <c r="R9" s="1205"/>
      <c r="S9" s="1205"/>
      <c r="T9" s="122"/>
      <c r="AM9" s="683"/>
      <c r="AZ9" s="684"/>
      <c r="BA9" s="685"/>
    </row>
    <row r="10" spans="1:53" s="682" customFormat="1" ht="12.5" x14ac:dyDescent="0.25">
      <c r="A10" s="123"/>
      <c r="B10" s="391" t="str">
        <f>'SPOT CASH_30 DAYS'!L11</f>
        <v>PARKING MODEL</v>
      </c>
      <c r="C10" s="393"/>
      <c r="D10" s="194" t="s">
        <v>5</v>
      </c>
      <c r="E10" s="1205" t="str">
        <f>'STANDARD COMP.'!E10</f>
        <v>Single Slot</v>
      </c>
      <c r="F10" s="1205"/>
      <c r="G10" s="1205"/>
      <c r="H10" s="1205"/>
      <c r="I10" s="1205"/>
      <c r="J10" s="125"/>
      <c r="K10" s="200"/>
      <c r="L10" s="391" t="str">
        <f t="shared" si="1"/>
        <v>PARKING MODEL</v>
      </c>
      <c r="M10" s="213"/>
      <c r="N10" s="194" t="s">
        <v>5</v>
      </c>
      <c r="O10" s="1205" t="str">
        <f t="shared" si="0"/>
        <v>Single Slot</v>
      </c>
      <c r="P10" s="1205"/>
      <c r="Q10" s="1205"/>
      <c r="R10" s="1205"/>
      <c r="S10" s="1205"/>
      <c r="T10" s="122"/>
      <c r="AM10" s="683"/>
      <c r="AZ10" s="684"/>
      <c r="BA10" s="685"/>
    </row>
    <row r="11" spans="1:53" s="682" customFormat="1" ht="12.5" x14ac:dyDescent="0.25">
      <c r="A11" s="123"/>
      <c r="B11" s="391" t="str">
        <f>'SPOT CASH_30 DAYS'!L12</f>
        <v>TOTAL AREA</v>
      </c>
      <c r="C11" s="393"/>
      <c r="D11" s="194" t="s">
        <v>5</v>
      </c>
      <c r="E11" s="1260">
        <f>'STANDARD COMP.'!E11:F11</f>
        <v>13.5</v>
      </c>
      <c r="F11" s="1235"/>
      <c r="G11" s="1262" t="s">
        <v>11</v>
      </c>
      <c r="H11" s="1262"/>
      <c r="I11" s="1263"/>
      <c r="J11" s="125"/>
      <c r="K11" s="200"/>
      <c r="L11" s="391" t="str">
        <f t="shared" si="1"/>
        <v>TOTAL AREA</v>
      </c>
      <c r="M11" s="213"/>
      <c r="N11" s="194" t="s">
        <v>5</v>
      </c>
      <c r="O11" s="1260">
        <f t="shared" si="0"/>
        <v>13.5</v>
      </c>
      <c r="P11" s="1261"/>
      <c r="Q11" s="1262" t="s">
        <v>11</v>
      </c>
      <c r="R11" s="1262"/>
      <c r="S11" s="1263"/>
      <c r="T11" s="122"/>
      <c r="AM11" s="683"/>
      <c r="AZ11" s="684"/>
      <c r="BA11" s="685"/>
    </row>
    <row r="12" spans="1:53" s="158" customFormat="1" ht="13" x14ac:dyDescent="0.3">
      <c r="A12" s="123"/>
      <c r="B12" s="123"/>
      <c r="C12" s="123"/>
      <c r="D12" s="194"/>
      <c r="E12" s="123"/>
      <c r="F12" s="123"/>
      <c r="G12" s="123"/>
      <c r="H12" s="123"/>
      <c r="I12" s="123"/>
      <c r="J12" s="123"/>
      <c r="K12" s="123"/>
      <c r="L12" s="123"/>
      <c r="M12" s="123"/>
      <c r="N12" s="259"/>
      <c r="O12" s="123"/>
      <c r="P12" s="123"/>
      <c r="Q12" s="123"/>
      <c r="R12" s="123"/>
      <c r="S12" s="123"/>
      <c r="T12" s="122"/>
    </row>
    <row r="13" spans="1:53" s="158" customFormat="1" ht="13" x14ac:dyDescent="0.3">
      <c r="A13" s="123"/>
      <c r="B13" s="198" t="s">
        <v>16</v>
      </c>
      <c r="C13" s="392"/>
      <c r="D13" s="200" t="s">
        <v>5</v>
      </c>
      <c r="E13" s="628"/>
      <c r="F13" s="1493">
        <f>'STANDARD COMP.'!F13</f>
        <v>832787.56226250005</v>
      </c>
      <c r="G13" s="1493"/>
      <c r="H13" s="1493"/>
      <c r="I13" s="1493"/>
      <c r="J13" s="125"/>
      <c r="K13" s="125"/>
      <c r="L13" s="1221" t="s">
        <v>12</v>
      </c>
      <c r="M13" s="1221"/>
      <c r="N13" s="1222" t="s">
        <v>13</v>
      </c>
      <c r="O13" s="1221" t="s">
        <v>14</v>
      </c>
      <c r="P13" s="1221"/>
      <c r="Q13" s="1224" t="s">
        <v>15</v>
      </c>
      <c r="R13" s="1456"/>
      <c r="S13" s="1225"/>
      <c r="T13" s="122"/>
    </row>
    <row r="14" spans="1:53" s="161" customFormat="1" ht="13" x14ac:dyDescent="0.3">
      <c r="A14" s="123"/>
      <c r="B14" s="204" t="s">
        <v>18</v>
      </c>
      <c r="C14" s="213"/>
      <c r="D14" s="194" t="s">
        <v>5</v>
      </c>
      <c r="E14" s="686">
        <f>IF(E16&gt;18,10%,IF(E16&gt;=12,5%,IF(E16&gt;5,2.5%,)))</f>
        <v>0</v>
      </c>
      <c r="F14" s="1489">
        <f>F13*E14</f>
        <v>0</v>
      </c>
      <c r="G14" s="1489"/>
      <c r="H14" s="1489"/>
      <c r="I14" s="1489"/>
      <c r="J14" s="123"/>
      <c r="K14" s="123"/>
      <c r="L14" s="1221"/>
      <c r="M14" s="1221"/>
      <c r="N14" s="1222"/>
      <c r="O14" s="1221"/>
      <c r="P14" s="1221"/>
      <c r="Q14" s="1226"/>
      <c r="R14" s="1457"/>
      <c r="S14" s="1227"/>
      <c r="T14" s="8"/>
    </row>
    <row r="15" spans="1:53" s="158" customFormat="1" ht="13" x14ac:dyDescent="0.3">
      <c r="A15" s="125"/>
      <c r="B15" s="204" t="s">
        <v>167</v>
      </c>
      <c r="C15" s="213"/>
      <c r="D15" s="194" t="s">
        <v>5</v>
      </c>
      <c r="E15" s="686"/>
      <c r="F15" s="1489">
        <f>'STANDARD COMP.'!F14:I14</f>
        <v>0</v>
      </c>
      <c r="G15" s="1489"/>
      <c r="H15" s="1489"/>
      <c r="I15" s="1489"/>
      <c r="J15" s="125"/>
      <c r="K15" s="125"/>
      <c r="L15" s="1205" t="s">
        <v>17</v>
      </c>
      <c r="M15" s="1205"/>
      <c r="N15" s="463">
        <f>C1</f>
        <v>45901</v>
      </c>
      <c r="O15" s="1223">
        <f>F24</f>
        <v>10000</v>
      </c>
      <c r="P15" s="1223"/>
      <c r="Q15" s="1490"/>
      <c r="R15" s="1491"/>
      <c r="S15" s="1492"/>
      <c r="T15" s="122"/>
    </row>
    <row r="16" spans="1:53" s="161" customFormat="1" ht="13" x14ac:dyDescent="0.3">
      <c r="A16" s="123"/>
      <c r="B16" s="171" t="s">
        <v>81</v>
      </c>
      <c r="C16" s="130"/>
      <c r="D16" s="200" t="s">
        <v>5</v>
      </c>
      <c r="E16" s="767">
        <f>'STANDARD COMP.'!E26</f>
        <v>1</v>
      </c>
      <c r="F16" s="1493">
        <f>F13-(F14+F15)</f>
        <v>832787.56226250005</v>
      </c>
      <c r="G16" s="1493"/>
      <c r="H16" s="1493"/>
      <c r="I16" s="1493"/>
      <c r="J16" s="123"/>
      <c r="K16" s="123"/>
      <c r="L16" s="1359" t="s">
        <v>82</v>
      </c>
      <c r="M16" s="1205"/>
      <c r="N16" s="463">
        <f>N15+60</f>
        <v>45961</v>
      </c>
      <c r="O16" s="1223">
        <f>F25</f>
        <v>985181.1369036875</v>
      </c>
      <c r="P16" s="1223"/>
      <c r="Q16" s="1490"/>
      <c r="R16" s="1491"/>
      <c r="S16" s="1492"/>
      <c r="T16" s="8"/>
    </row>
    <row r="17" spans="1:20" s="158" customFormat="1" x14ac:dyDescent="0.35">
      <c r="A17" s="123"/>
      <c r="B17" s="210"/>
      <c r="C17" s="123"/>
      <c r="D17" s="194"/>
      <c r="E17" s="194"/>
      <c r="F17" s="687">
        <f>E18*F16</f>
        <v>99934.507471500008</v>
      </c>
      <c r="G17" s="212"/>
      <c r="H17" s="212"/>
      <c r="I17" s="123"/>
      <c r="J17" s="123"/>
      <c r="K17" s="123"/>
      <c r="L17"/>
      <c r="M17"/>
      <c r="N17"/>
      <c r="O17"/>
      <c r="P17"/>
      <c r="Q17"/>
      <c r="R17"/>
      <c r="S17"/>
      <c r="T17" s="122"/>
    </row>
    <row r="18" spans="1:20" s="158" customFormat="1" ht="13" x14ac:dyDescent="0.3">
      <c r="A18" s="123"/>
      <c r="B18" s="213" t="s">
        <v>23</v>
      </c>
      <c r="C18" s="213"/>
      <c r="D18" s="194" t="s">
        <v>5</v>
      </c>
      <c r="E18" s="478">
        <v>0.12</v>
      </c>
      <c r="F18" s="1391">
        <f>F16*E18</f>
        <v>99934.507471500008</v>
      </c>
      <c r="G18" s="1391"/>
      <c r="H18" s="1391"/>
      <c r="I18" s="1391"/>
      <c r="J18" s="123"/>
      <c r="K18" s="123"/>
      <c r="L18" s="200"/>
      <c r="M18" s="200"/>
      <c r="N18" s="246"/>
      <c r="O18" s="492"/>
      <c r="P18" s="492"/>
      <c r="Q18" s="688"/>
      <c r="R18" s="125"/>
      <c r="S18" s="125"/>
      <c r="T18" s="122"/>
    </row>
    <row r="19" spans="1:20" s="158" customFormat="1" ht="13" x14ac:dyDescent="0.3">
      <c r="A19" s="123"/>
      <c r="B19" s="410" t="s">
        <v>25</v>
      </c>
      <c r="C19" s="166"/>
      <c r="D19" s="194" t="s">
        <v>5</v>
      </c>
      <c r="E19" s="616">
        <v>7.4999999999999997E-2</v>
      </c>
      <c r="F19" s="1391">
        <f>E19*F13</f>
        <v>62459.0671696875</v>
      </c>
      <c r="G19" s="1391"/>
      <c r="H19" s="1391"/>
      <c r="I19" s="1391"/>
      <c r="J19" s="123"/>
      <c r="K19" s="123"/>
      <c r="L19" s="200"/>
      <c r="M19" s="200"/>
      <c r="N19" s="246"/>
      <c r="O19" s="492"/>
      <c r="P19" s="492"/>
      <c r="Q19" s="688"/>
      <c r="R19" s="125"/>
      <c r="S19" s="125"/>
      <c r="T19" s="122"/>
    </row>
    <row r="20" spans="1:20" s="158" customFormat="1" ht="13" x14ac:dyDescent="0.3">
      <c r="A20" s="125"/>
      <c r="B20" s="210"/>
      <c r="C20" s="123"/>
      <c r="D20" s="194"/>
      <c r="E20" s="194"/>
      <c r="F20" s="212"/>
      <c r="G20" s="212"/>
      <c r="H20" s="212"/>
      <c r="I20" s="123"/>
      <c r="J20" s="123"/>
      <c r="K20" s="123"/>
      <c r="L20" s="200"/>
      <c r="M20" s="200"/>
      <c r="N20" s="246"/>
      <c r="O20" s="492"/>
      <c r="P20" s="492"/>
      <c r="Q20" s="688"/>
      <c r="R20" s="125"/>
      <c r="S20" s="125"/>
      <c r="T20" s="122"/>
    </row>
    <row r="21" spans="1:20" s="158" customFormat="1" ht="13" x14ac:dyDescent="0.3">
      <c r="A21" s="123"/>
      <c r="B21" s="171" t="s">
        <v>28</v>
      </c>
      <c r="C21" s="130"/>
      <c r="D21" s="200" t="s">
        <v>5</v>
      </c>
      <c r="E21" s="689"/>
      <c r="F21" s="1488">
        <f>F16+F18+F19</f>
        <v>995181.1369036875</v>
      </c>
      <c r="G21" s="1488"/>
      <c r="H21" s="1488"/>
      <c r="I21" s="1488"/>
      <c r="J21" s="125"/>
      <c r="K21" s="125"/>
      <c r="L21" s="232"/>
      <c r="M21" s="123"/>
      <c r="N21" s="259"/>
      <c r="O21" s="123"/>
      <c r="P21" s="123"/>
      <c r="Q21" s="123"/>
      <c r="R21" s="123"/>
      <c r="S21" s="123"/>
      <c r="T21" s="122"/>
    </row>
    <row r="22" spans="1:20" s="161" customFormat="1" ht="13" x14ac:dyDescent="0.3">
      <c r="A22" s="123"/>
      <c r="B22" s="210"/>
      <c r="C22" s="123"/>
      <c r="D22" s="194"/>
      <c r="E22" s="194"/>
      <c r="F22" s="212"/>
      <c r="G22" s="212"/>
      <c r="H22" s="212"/>
      <c r="I22" s="123"/>
      <c r="J22" s="123"/>
      <c r="K22" s="123"/>
      <c r="L22" s="232"/>
      <c r="M22" s="123"/>
      <c r="N22" s="259"/>
      <c r="O22" s="123"/>
      <c r="P22" s="123"/>
      <c r="Q22" s="123"/>
      <c r="R22" s="123"/>
      <c r="S22" s="123"/>
      <c r="T22" s="8"/>
    </row>
    <row r="23" spans="1:20" s="158" customFormat="1" ht="13" x14ac:dyDescent="0.3">
      <c r="A23" s="125"/>
      <c r="B23" s="1429" t="s">
        <v>82</v>
      </c>
      <c r="C23" s="1429"/>
      <c r="D23" s="194" t="s">
        <v>5</v>
      </c>
      <c r="E23" s="690">
        <v>1</v>
      </c>
      <c r="F23" s="1488">
        <f>E23*F21</f>
        <v>995181.1369036875</v>
      </c>
      <c r="G23" s="1488"/>
      <c r="H23" s="1488"/>
      <c r="I23" s="1488"/>
      <c r="J23" s="123"/>
      <c r="K23" s="123"/>
      <c r="L23" s="125" t="s">
        <v>70</v>
      </c>
      <c r="M23" s="125"/>
      <c r="N23" s="200"/>
      <c r="O23" s="125"/>
      <c r="Q23" s="125" t="s">
        <v>71</v>
      </c>
      <c r="R23" s="123"/>
      <c r="S23" s="123"/>
      <c r="T23" s="122"/>
    </row>
    <row r="24" spans="1:20" s="161" customFormat="1" ht="13" x14ac:dyDescent="0.3">
      <c r="A24" s="123"/>
      <c r="B24" s="1211" t="s">
        <v>225</v>
      </c>
      <c r="C24" s="1211"/>
      <c r="D24" s="200" t="s">
        <v>5</v>
      </c>
      <c r="E24" s="689"/>
      <c r="F24" s="1391">
        <f>'STANDARD COMP.'!F23</f>
        <v>10000</v>
      </c>
      <c r="G24" s="1391"/>
      <c r="H24" s="1391"/>
      <c r="I24" s="1391"/>
      <c r="J24" s="125"/>
      <c r="K24" s="125"/>
      <c r="L24" s="123"/>
      <c r="M24" s="123"/>
      <c r="N24" s="194"/>
      <c r="O24" s="123"/>
      <c r="P24" s="123"/>
      <c r="Q24" s="123"/>
      <c r="R24" s="123"/>
      <c r="S24" s="123"/>
      <c r="T24" s="8"/>
    </row>
    <row r="25" spans="1:20" s="161" customFormat="1" ht="13" x14ac:dyDescent="0.3">
      <c r="A25" s="125"/>
      <c r="B25" s="1429" t="s">
        <v>83</v>
      </c>
      <c r="C25" s="1429"/>
      <c r="D25" s="200" t="s">
        <v>5</v>
      </c>
      <c r="E25" s="224"/>
      <c r="F25" s="1266">
        <f>(F23-F24)</f>
        <v>985181.1369036875</v>
      </c>
      <c r="G25" s="1264"/>
      <c r="H25" s="1264"/>
      <c r="I25" s="1265"/>
      <c r="J25" s="125"/>
      <c r="K25" s="125"/>
      <c r="L25" s="123"/>
      <c r="M25" s="123"/>
      <c r="N25" s="194"/>
      <c r="O25" s="123"/>
      <c r="P25" s="123"/>
      <c r="Q25" s="123"/>
      <c r="R25" s="123"/>
      <c r="S25" s="123"/>
      <c r="T25" s="8"/>
    </row>
    <row r="26" spans="1:20" s="158" customFormat="1" x14ac:dyDescent="0.35">
      <c r="A26" s="123"/>
      <c r="B26"/>
      <c r="C26"/>
      <c r="D26"/>
      <c r="E26"/>
      <c r="F26"/>
      <c r="G26"/>
      <c r="H26"/>
      <c r="I26"/>
      <c r="J26" s="123"/>
      <c r="K26" s="123"/>
      <c r="L26" s="1234" t="str">
        <f>FORM!I28</f>
        <v>selller</v>
      </c>
      <c r="M26" s="1234"/>
      <c r="N26" s="1234"/>
      <c r="O26" s="125"/>
      <c r="P26" s="125"/>
      <c r="Q26" s="1234" t="str">
        <f>FORM!I26</f>
        <v>buyer</v>
      </c>
      <c r="R26" s="1234"/>
      <c r="S26" s="1234"/>
      <c r="T26" s="122"/>
    </row>
    <row r="27" spans="1:20" s="158" customFormat="1" ht="13" x14ac:dyDescent="0.3">
      <c r="A27" s="123"/>
      <c r="B27" s="254"/>
      <c r="C27" s="123"/>
      <c r="D27" s="194"/>
      <c r="E27" s="123"/>
      <c r="F27" s="123"/>
      <c r="G27" s="123"/>
      <c r="H27" s="123"/>
      <c r="I27" s="123"/>
      <c r="J27" s="123"/>
      <c r="K27" s="123"/>
      <c r="L27" s="247" t="s">
        <v>73</v>
      </c>
      <c r="M27" s="1428"/>
      <c r="N27" s="1236"/>
      <c r="O27" s="123"/>
      <c r="P27" s="123"/>
      <c r="Q27" s="134" t="s">
        <v>74</v>
      </c>
      <c r="R27" s="1428"/>
      <c r="S27" s="1236"/>
      <c r="T27" s="122"/>
    </row>
    <row r="28" spans="1:20" s="161" customFormat="1" ht="13" x14ac:dyDescent="0.3">
      <c r="A28" s="123"/>
      <c r="B28" s="240"/>
      <c r="C28" s="158"/>
      <c r="D28" s="241"/>
      <c r="E28" s="175"/>
      <c r="F28" s="158"/>
      <c r="G28" s="158"/>
      <c r="H28" s="1487"/>
      <c r="I28" s="1487"/>
      <c r="J28" s="125"/>
      <c r="K28" s="125"/>
      <c r="L28" s="122"/>
      <c r="M28" s="122"/>
      <c r="N28" s="122"/>
      <c r="O28" s="122"/>
      <c r="P28" s="122"/>
      <c r="Q28" s="122"/>
      <c r="R28" s="122"/>
      <c r="S28" s="122"/>
      <c r="T28" s="8"/>
    </row>
    <row r="29" spans="1:20" s="158" customFormat="1" ht="13" x14ac:dyDescent="0.3">
      <c r="A29" s="123"/>
      <c r="B29" s="130" t="s">
        <v>202</v>
      </c>
      <c r="C29" s="242"/>
      <c r="D29" s="125"/>
      <c r="E29" s="125"/>
      <c r="F29" s="125"/>
      <c r="G29" s="125"/>
      <c r="H29" s="125"/>
      <c r="I29" s="243"/>
      <c r="J29" s="123"/>
      <c r="K29" s="123"/>
      <c r="M29" s="691"/>
      <c r="N29" s="691"/>
      <c r="T29" s="122"/>
    </row>
    <row r="30" spans="1:20" s="158" customFormat="1" ht="13" x14ac:dyDescent="0.3">
      <c r="A30" s="123"/>
      <c r="B30" s="125"/>
      <c r="C30" s="125"/>
      <c r="D30" s="125"/>
      <c r="E30" s="125"/>
      <c r="F30" s="125"/>
      <c r="G30" s="125"/>
      <c r="H30" s="125"/>
      <c r="I30" s="125"/>
      <c r="J30" s="123"/>
      <c r="K30" s="123"/>
      <c r="M30" s="691"/>
      <c r="N30" s="691"/>
      <c r="T30" s="122"/>
    </row>
    <row r="31" spans="1:20" s="158" customFormat="1" ht="13" x14ac:dyDescent="0.3">
      <c r="A31" s="123"/>
      <c r="B31" s="1221" t="s">
        <v>110</v>
      </c>
      <c r="C31" s="1221"/>
      <c r="D31" s="1221" t="s">
        <v>200</v>
      </c>
      <c r="E31" s="1221"/>
      <c r="F31" s="1221"/>
      <c r="G31" s="1221" t="s">
        <v>207</v>
      </c>
      <c r="H31" s="1221"/>
      <c r="I31" s="1221"/>
      <c r="J31" s="123"/>
      <c r="K31" s="123"/>
      <c r="M31" s="691"/>
      <c r="N31" s="691"/>
      <c r="T31" s="122"/>
    </row>
    <row r="32" spans="1:20" s="158" customFormat="1" ht="13" x14ac:dyDescent="0.3">
      <c r="A32" s="123"/>
      <c r="B32" s="1475">
        <f>'SPOT CASH_30 DAYS'!B33</f>
        <v>0</v>
      </c>
      <c r="C32" s="1476"/>
      <c r="D32" s="1475">
        <f>'SPOT CASH_30 DAYS'!D33</f>
        <v>0</v>
      </c>
      <c r="E32" s="1479"/>
      <c r="F32" s="1476"/>
      <c r="G32" s="1481">
        <f>'SPOT CASH_30 DAYS'!H33</f>
        <v>0</v>
      </c>
      <c r="H32" s="1482"/>
      <c r="I32" s="1483"/>
      <c r="J32" s="123"/>
      <c r="K32" s="123"/>
      <c r="M32" s="691"/>
      <c r="N32" s="691"/>
      <c r="T32" s="122"/>
    </row>
    <row r="33" spans="1:20" s="158" customFormat="1" ht="13" x14ac:dyDescent="0.3">
      <c r="A33" s="123"/>
      <c r="B33" s="1477"/>
      <c r="C33" s="1478"/>
      <c r="D33" s="1477"/>
      <c r="E33" s="1480"/>
      <c r="F33" s="1478"/>
      <c r="G33" s="1484"/>
      <c r="H33" s="1485"/>
      <c r="I33" s="1486"/>
      <c r="J33" s="123"/>
      <c r="K33" s="123"/>
      <c r="M33" s="691"/>
      <c r="N33" s="691"/>
      <c r="T33" s="122"/>
    </row>
    <row r="34" spans="1:20" s="158" customFormat="1" ht="13" x14ac:dyDescent="0.3">
      <c r="A34" s="123"/>
      <c r="B34" s="1475">
        <f>'SPOT CASH_30 DAYS'!B35</f>
        <v>0</v>
      </c>
      <c r="C34" s="1476"/>
      <c r="D34" s="1475">
        <f>'SPOT CASH_30 DAYS'!D35</f>
        <v>0</v>
      </c>
      <c r="E34" s="1479"/>
      <c r="F34" s="1476"/>
      <c r="G34" s="1481">
        <f>'SPOT CASH_30 DAYS'!H35</f>
        <v>0</v>
      </c>
      <c r="H34" s="1482"/>
      <c r="I34" s="1483"/>
      <c r="J34" s="123"/>
      <c r="K34" s="123"/>
      <c r="M34" s="691"/>
      <c r="N34" s="691"/>
      <c r="T34" s="122"/>
    </row>
    <row r="35" spans="1:20" s="158" customFormat="1" ht="13" x14ac:dyDescent="0.3">
      <c r="A35" s="123"/>
      <c r="B35" s="1477"/>
      <c r="C35" s="1478"/>
      <c r="D35" s="1477"/>
      <c r="E35" s="1480"/>
      <c r="F35" s="1478"/>
      <c r="G35" s="1484"/>
      <c r="H35" s="1485"/>
      <c r="I35" s="1486"/>
      <c r="J35" s="123"/>
      <c r="K35" s="123"/>
      <c r="N35" s="691"/>
      <c r="T35" s="122"/>
    </row>
    <row r="36" spans="1:20" s="158" customFormat="1" ht="16.5" customHeight="1" x14ac:dyDescent="0.3">
      <c r="A36" s="123"/>
      <c r="B36" s="1475">
        <f>'SPOT CASH_30 DAYS'!B37</f>
        <v>0</v>
      </c>
      <c r="C36" s="1476"/>
      <c r="D36" s="1475">
        <f>'SPOT CASH_30 DAYS'!D37</f>
        <v>0</v>
      </c>
      <c r="E36" s="1479"/>
      <c r="F36" s="1476"/>
      <c r="G36" s="1481">
        <f>'SPOT CASH_30 DAYS'!H37</f>
        <v>0</v>
      </c>
      <c r="H36" s="1482"/>
      <c r="I36" s="1483"/>
      <c r="J36" s="123"/>
      <c r="K36" s="123"/>
      <c r="N36" s="691"/>
      <c r="T36" s="122"/>
    </row>
    <row r="37" spans="1:20" s="158" customFormat="1" ht="13" x14ac:dyDescent="0.3">
      <c r="A37" s="123"/>
      <c r="B37" s="1477"/>
      <c r="C37" s="1478"/>
      <c r="D37" s="1477"/>
      <c r="E37" s="1480"/>
      <c r="F37" s="1478"/>
      <c r="G37" s="1484"/>
      <c r="H37" s="1485"/>
      <c r="I37" s="1486"/>
      <c r="J37" s="123"/>
      <c r="K37" s="123"/>
      <c r="N37" s="691"/>
      <c r="T37" s="122"/>
    </row>
    <row r="38" spans="1:20" s="158" customFormat="1" ht="16.5" customHeight="1" x14ac:dyDescent="0.3">
      <c r="A38" s="123"/>
      <c r="B38" s="1475">
        <f>'SPOT CASH_30 DAYS'!B39</f>
        <v>0</v>
      </c>
      <c r="C38" s="1476"/>
      <c r="D38" s="1475">
        <f>'SPOT CASH_30 DAYS'!D39</f>
        <v>0</v>
      </c>
      <c r="E38" s="1479"/>
      <c r="F38" s="1476"/>
      <c r="G38" s="1481">
        <f>'SPOT CASH_30 DAYS'!H39</f>
        <v>0</v>
      </c>
      <c r="H38" s="1482"/>
      <c r="I38" s="1483"/>
      <c r="J38" s="123"/>
      <c r="K38" s="123"/>
      <c r="N38" s="691"/>
      <c r="T38" s="122"/>
    </row>
    <row r="39" spans="1:20" s="158" customFormat="1" ht="13" x14ac:dyDescent="0.3">
      <c r="A39" s="123"/>
      <c r="B39" s="1477"/>
      <c r="C39" s="1478"/>
      <c r="D39" s="1477"/>
      <c r="E39" s="1480"/>
      <c r="F39" s="1478"/>
      <c r="G39" s="1484"/>
      <c r="H39" s="1485"/>
      <c r="I39" s="1486"/>
      <c r="J39" s="123"/>
      <c r="K39" s="123"/>
      <c r="N39" s="691"/>
      <c r="T39" s="122"/>
    </row>
    <row r="40" spans="1:20" s="158" customFormat="1" ht="12.75" customHeight="1" x14ac:dyDescent="0.3">
      <c r="A40" s="123"/>
      <c r="B40" s="1475">
        <f>'SPOT CASH_30 DAYS'!B41</f>
        <v>0</v>
      </c>
      <c r="C40" s="1476"/>
      <c r="D40" s="1475">
        <f>'SPOT CASH_30 DAYS'!D41</f>
        <v>0</v>
      </c>
      <c r="E40" s="1479"/>
      <c r="F40" s="1476"/>
      <c r="G40" s="1481">
        <f>'SPOT CASH_30 DAYS'!H41</f>
        <v>0</v>
      </c>
      <c r="H40" s="1482"/>
      <c r="I40" s="1483"/>
      <c r="J40" s="123"/>
      <c r="K40" s="123"/>
      <c r="N40" s="691"/>
      <c r="T40" s="122"/>
    </row>
    <row r="41" spans="1:20" s="158" customFormat="1" ht="15" customHeight="1" x14ac:dyDescent="0.3">
      <c r="A41" s="123"/>
      <c r="B41" s="1477"/>
      <c r="C41" s="1478"/>
      <c r="D41" s="1477"/>
      <c r="E41" s="1480"/>
      <c r="F41" s="1478"/>
      <c r="G41" s="1484"/>
      <c r="H41" s="1485"/>
      <c r="I41" s="1486"/>
      <c r="J41" s="123"/>
      <c r="K41" s="123"/>
      <c r="N41" s="691"/>
      <c r="T41" s="122"/>
    </row>
    <row r="42" spans="1:20" s="158" customFormat="1" ht="12.75" customHeight="1" x14ac:dyDescent="0.3">
      <c r="A42" s="123"/>
      <c r="B42" s="1475">
        <f>'SPOT CASH_30 DAYS'!B43</f>
        <v>0</v>
      </c>
      <c r="C42" s="1476"/>
      <c r="D42" s="1475">
        <f>'SPOT CASH_30 DAYS'!D43</f>
        <v>0</v>
      </c>
      <c r="E42" s="1479"/>
      <c r="F42" s="1476"/>
      <c r="G42" s="1481">
        <f>'SPOT CASH_30 DAYS'!H43</f>
        <v>0</v>
      </c>
      <c r="H42" s="1482"/>
      <c r="I42" s="1483"/>
      <c r="J42" s="125"/>
      <c r="K42" s="125"/>
      <c r="N42" s="691"/>
      <c r="T42" s="122"/>
    </row>
    <row r="43" spans="1:20" s="158" customFormat="1" ht="12.75" customHeight="1" x14ac:dyDescent="0.3">
      <c r="A43" s="123"/>
      <c r="B43" s="1477"/>
      <c r="C43" s="1478"/>
      <c r="D43" s="1477"/>
      <c r="E43" s="1480"/>
      <c r="F43" s="1478"/>
      <c r="G43" s="1484"/>
      <c r="H43" s="1485"/>
      <c r="I43" s="1486"/>
      <c r="J43" s="125"/>
      <c r="K43" s="125"/>
      <c r="N43" s="691"/>
      <c r="T43" s="122"/>
    </row>
    <row r="44" spans="1:20" s="158" customFormat="1" ht="12.75" customHeight="1" x14ac:dyDescent="0.3">
      <c r="A44" s="123"/>
      <c r="D44" s="241"/>
      <c r="J44" s="125"/>
      <c r="K44" s="125"/>
      <c r="N44" s="691"/>
      <c r="T44" s="122"/>
    </row>
    <row r="45" spans="1:20" s="158" customFormat="1" ht="12.75" customHeight="1" x14ac:dyDescent="0.3">
      <c r="A45" s="123"/>
      <c r="B45" s="429"/>
      <c r="C45" s="429" t="s">
        <v>222</v>
      </c>
      <c r="D45" s="1192"/>
      <c r="E45" s="1192"/>
      <c r="F45" s="1192"/>
      <c r="G45" s="125"/>
      <c r="H45" s="125"/>
      <c r="I45" s="125"/>
      <c r="J45" s="125"/>
      <c r="K45" s="125"/>
      <c r="N45" s="691"/>
      <c r="T45" s="122"/>
    </row>
    <row r="46" spans="1:20" s="158" customFormat="1" ht="12.75" customHeight="1" x14ac:dyDescent="0.3">
      <c r="A46" s="123"/>
      <c r="B46" s="125"/>
      <c r="C46" s="125"/>
      <c r="D46" s="125"/>
      <c r="E46" s="125"/>
      <c r="F46" s="125"/>
      <c r="G46" s="125"/>
      <c r="H46" s="125"/>
      <c r="I46" s="125"/>
      <c r="J46" s="125"/>
      <c r="K46" s="125"/>
      <c r="N46" s="691"/>
      <c r="T46" s="122"/>
    </row>
    <row r="47" spans="1:20" s="158" customFormat="1" ht="12.75" customHeight="1" x14ac:dyDescent="0.3">
      <c r="A47" s="123"/>
      <c r="D47" s="241"/>
      <c r="G47" s="125"/>
      <c r="H47" s="125"/>
      <c r="I47" s="125"/>
      <c r="J47" s="125"/>
      <c r="K47" s="125"/>
      <c r="N47" s="691"/>
      <c r="T47" s="122"/>
    </row>
    <row r="48" spans="1:20" s="158" customFormat="1" ht="12.75" customHeight="1" x14ac:dyDescent="0.3">
      <c r="A48" s="123"/>
      <c r="B48" s="123"/>
      <c r="C48" s="123"/>
      <c r="D48" s="194"/>
      <c r="E48" s="123"/>
      <c r="F48" s="123"/>
      <c r="G48" s="123"/>
      <c r="H48" s="123"/>
      <c r="I48" s="123"/>
      <c r="J48" s="125"/>
      <c r="K48" s="125"/>
      <c r="N48" s="691"/>
      <c r="T48" s="122"/>
    </row>
    <row r="49" spans="1:20" s="158" customFormat="1" ht="13" x14ac:dyDescent="0.3">
      <c r="A49" s="122"/>
      <c r="B49" s="125" t="s">
        <v>70</v>
      </c>
      <c r="C49" s="125"/>
      <c r="D49" s="200"/>
      <c r="E49" s="125"/>
      <c r="F49" s="125" t="s">
        <v>71</v>
      </c>
      <c r="G49" s="125"/>
      <c r="H49" s="123"/>
      <c r="I49" s="123"/>
      <c r="J49" s="123"/>
      <c r="K49" s="125"/>
      <c r="N49" s="691"/>
      <c r="T49" s="122"/>
    </row>
    <row r="50" spans="1:20" s="158" customFormat="1" ht="13" x14ac:dyDescent="0.3">
      <c r="A50" s="122"/>
      <c r="B50" s="123"/>
      <c r="C50" s="123"/>
      <c r="D50" s="194"/>
      <c r="E50" s="123"/>
      <c r="F50" s="123"/>
      <c r="G50" s="123"/>
      <c r="H50" s="123"/>
      <c r="I50" s="123"/>
      <c r="J50" s="123"/>
      <c r="K50" s="125"/>
      <c r="N50" s="691"/>
      <c r="T50" s="122"/>
    </row>
    <row r="51" spans="1:20" s="158" customFormat="1" ht="13" x14ac:dyDescent="0.3">
      <c r="A51" s="122"/>
      <c r="B51" s="123"/>
      <c r="C51" s="123"/>
      <c r="D51" s="194"/>
      <c r="E51" s="123"/>
      <c r="F51" s="123"/>
      <c r="G51" s="123"/>
      <c r="H51" s="123"/>
      <c r="I51" s="123"/>
      <c r="J51" s="123"/>
      <c r="K51" s="125"/>
      <c r="N51" s="691"/>
      <c r="T51" s="122"/>
    </row>
    <row r="52" spans="1:20" s="158" customFormat="1" ht="13" x14ac:dyDescent="0.3">
      <c r="B52" s="1234" t="str">
        <f>FORM!I28</f>
        <v>selller</v>
      </c>
      <c r="C52" s="1234"/>
      <c r="D52" s="1234"/>
      <c r="E52" s="125"/>
      <c r="F52" s="125"/>
      <c r="G52" s="1234" t="str">
        <f>FORM!I26</f>
        <v>buyer</v>
      </c>
      <c r="H52" s="1234"/>
      <c r="I52" s="1234"/>
      <c r="J52" s="123"/>
      <c r="K52" s="125"/>
      <c r="N52" s="691"/>
      <c r="T52" s="122"/>
    </row>
    <row r="53" spans="1:20" s="158" customFormat="1" ht="13" x14ac:dyDescent="0.3">
      <c r="A53" s="692">
        <f>F16*E18</f>
        <v>99934.507471500008</v>
      </c>
      <c r="B53" s="247" t="s">
        <v>73</v>
      </c>
      <c r="C53" s="1428"/>
      <c r="D53" s="1236"/>
      <c r="E53" s="123"/>
      <c r="F53" s="123"/>
      <c r="G53" s="1236" t="s">
        <v>73</v>
      </c>
      <c r="H53" s="1236"/>
      <c r="I53" s="1236"/>
      <c r="J53" s="123"/>
      <c r="K53" s="122"/>
      <c r="N53" s="691"/>
      <c r="T53" s="122"/>
    </row>
    <row r="54" spans="1:20" s="158" customFormat="1" ht="13" x14ac:dyDescent="0.3">
      <c r="B54" s="123"/>
      <c r="C54" s="123"/>
      <c r="D54" s="194"/>
      <c r="E54" s="123"/>
      <c r="F54" s="123"/>
      <c r="G54" s="123"/>
      <c r="H54" s="123"/>
      <c r="I54" s="123"/>
      <c r="J54" s="123"/>
      <c r="K54" s="122"/>
      <c r="N54" s="691"/>
      <c r="T54" s="122"/>
    </row>
    <row r="55" spans="1:20" s="158" customFormat="1" ht="13" x14ac:dyDescent="0.3">
      <c r="A55" s="693">
        <f>F16*12%</f>
        <v>99934.507471500008</v>
      </c>
      <c r="B55" s="123"/>
      <c r="C55" s="123"/>
      <c r="D55" s="194"/>
      <c r="E55" s="123"/>
      <c r="F55" s="123"/>
      <c r="G55" s="123"/>
      <c r="H55" s="123"/>
      <c r="I55" s="123"/>
      <c r="J55" s="123"/>
      <c r="K55" s="122"/>
      <c r="N55" s="691"/>
      <c r="T55" s="122"/>
    </row>
    <row r="56" spans="1:20" s="158" customFormat="1" ht="13" x14ac:dyDescent="0.3">
      <c r="B56" s="123"/>
      <c r="C56" s="123"/>
      <c r="D56" s="194"/>
      <c r="E56" s="123"/>
      <c r="F56" s="123"/>
      <c r="G56" s="123"/>
      <c r="H56" s="123"/>
      <c r="I56" s="123"/>
      <c r="J56" s="123"/>
      <c r="K56" s="122"/>
      <c r="N56" s="691"/>
      <c r="T56" s="122"/>
    </row>
    <row r="57" spans="1:20" s="158" customFormat="1" ht="13" x14ac:dyDescent="0.3">
      <c r="B57" s="122"/>
      <c r="C57" s="122"/>
      <c r="D57" s="176"/>
      <c r="E57" s="122"/>
      <c r="F57" s="122"/>
      <c r="G57" s="122"/>
      <c r="H57" s="122"/>
      <c r="I57" s="122"/>
      <c r="J57" s="122"/>
      <c r="K57" s="122"/>
      <c r="N57" s="691"/>
      <c r="T57" s="122"/>
    </row>
    <row r="58" spans="1:20" x14ac:dyDescent="0.35">
      <c r="B58" s="7"/>
      <c r="C58" s="7"/>
      <c r="D58" s="101"/>
      <c r="E58" s="7"/>
      <c r="F58" s="7"/>
      <c r="G58" s="7"/>
      <c r="H58" s="7"/>
      <c r="I58" s="7"/>
      <c r="J58" s="7"/>
      <c r="K58" s="7"/>
      <c r="T58" s="7"/>
    </row>
    <row r="59" spans="1:20" x14ac:dyDescent="0.35">
      <c r="B59" s="7"/>
      <c r="C59" s="7"/>
      <c r="D59" s="101"/>
      <c r="E59" s="7"/>
      <c r="F59" s="7"/>
      <c r="G59" s="7"/>
      <c r="H59" s="7"/>
      <c r="I59" s="7"/>
      <c r="J59" s="7"/>
      <c r="K59" s="7"/>
    </row>
    <row r="60" spans="1:20" x14ac:dyDescent="0.35">
      <c r="K60" s="7"/>
    </row>
    <row r="61" spans="1:20" x14ac:dyDescent="0.35">
      <c r="K61" s="7"/>
    </row>
    <row r="62" spans="1:20" x14ac:dyDescent="0.35">
      <c r="K62" s="7"/>
    </row>
    <row r="63" spans="1:20" x14ac:dyDescent="0.35">
      <c r="K63" s="7"/>
    </row>
    <row r="64" spans="1:20" x14ac:dyDescent="0.35">
      <c r="K64" s="7"/>
    </row>
    <row r="65" spans="11:11" x14ac:dyDescent="0.35">
      <c r="K65" s="7"/>
    </row>
  </sheetData>
  <sheetProtection sheet="1" formatCells="0" formatColumns="0" formatRows="0"/>
  <mergeCells count="72">
    <mergeCell ref="R1:S1"/>
    <mergeCell ref="R2:S2"/>
    <mergeCell ref="B3:I4"/>
    <mergeCell ref="L3:S4"/>
    <mergeCell ref="E6:I6"/>
    <mergeCell ref="O6:S6"/>
    <mergeCell ref="E7:I7"/>
    <mergeCell ref="O7:S7"/>
    <mergeCell ref="E8:I8"/>
    <mergeCell ref="O8:S8"/>
    <mergeCell ref="E9:I9"/>
    <mergeCell ref="O9:S9"/>
    <mergeCell ref="E10:I10"/>
    <mergeCell ref="O10:S10"/>
    <mergeCell ref="E11:F11"/>
    <mergeCell ref="G11:I11"/>
    <mergeCell ref="O11:P11"/>
    <mergeCell ref="Q11:S11"/>
    <mergeCell ref="F13:I13"/>
    <mergeCell ref="L13:M14"/>
    <mergeCell ref="N13:N14"/>
    <mergeCell ref="O13:P14"/>
    <mergeCell ref="Q13:S14"/>
    <mergeCell ref="F14:I14"/>
    <mergeCell ref="O15:P15"/>
    <mergeCell ref="Q15:S15"/>
    <mergeCell ref="F16:I16"/>
    <mergeCell ref="L16:M16"/>
    <mergeCell ref="O16:P16"/>
    <mergeCell ref="Q16:S16"/>
    <mergeCell ref="F18:I18"/>
    <mergeCell ref="F19:I19"/>
    <mergeCell ref="F21:I21"/>
    <mergeCell ref="F15:I15"/>
    <mergeCell ref="L15:M15"/>
    <mergeCell ref="L26:N26"/>
    <mergeCell ref="Q26:S26"/>
    <mergeCell ref="M27:N27"/>
    <mergeCell ref="R27:S27"/>
    <mergeCell ref="B23:C23"/>
    <mergeCell ref="F23:I23"/>
    <mergeCell ref="B24:C24"/>
    <mergeCell ref="F24:I24"/>
    <mergeCell ref="B25:C25"/>
    <mergeCell ref="F25:I25"/>
    <mergeCell ref="H28:I28"/>
    <mergeCell ref="B31:C31"/>
    <mergeCell ref="D31:F31"/>
    <mergeCell ref="G31:I31"/>
    <mergeCell ref="B32:C33"/>
    <mergeCell ref="D32:F33"/>
    <mergeCell ref="G32:I33"/>
    <mergeCell ref="B34:C35"/>
    <mergeCell ref="D34:F35"/>
    <mergeCell ref="G34:I35"/>
    <mergeCell ref="B36:C37"/>
    <mergeCell ref="D36:F37"/>
    <mergeCell ref="G36:I37"/>
    <mergeCell ref="B38:C39"/>
    <mergeCell ref="D38:F39"/>
    <mergeCell ref="G38:I39"/>
    <mergeCell ref="B40:C41"/>
    <mergeCell ref="D40:F41"/>
    <mergeCell ref="G40:I41"/>
    <mergeCell ref="C53:D53"/>
    <mergeCell ref="G53:I53"/>
    <mergeCell ref="B42:C43"/>
    <mergeCell ref="D42:F43"/>
    <mergeCell ref="G42:I43"/>
    <mergeCell ref="D45:F45"/>
    <mergeCell ref="B52:D52"/>
    <mergeCell ref="G52:I52"/>
  </mergeCells>
  <pageMargins left="0.59055118110236227" right="0.59055118110236227" top="1.1811023622047245"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58" max="18" man="1"/>
  </rowBreaks>
  <colBreaks count="1" manualBreakCount="1">
    <brk id="9" max="5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8"/>
  <dimension ref="A1:BA65"/>
  <sheetViews>
    <sheetView showGridLines="0" showZeros="0" showRuler="0" view="pageLayout" topLeftCell="A10" zoomScale="90" zoomScaleNormal="100" zoomScaleSheetLayoutView="80" zoomScalePageLayoutView="90" workbookViewId="0">
      <selection activeCell="H27" sqref="H27"/>
    </sheetView>
  </sheetViews>
  <sheetFormatPr defaultColWidth="9.1796875" defaultRowHeight="14.5" x14ac:dyDescent="0.35"/>
  <cols>
    <col min="1" max="1" width="2.1796875" customWidth="1"/>
    <col min="2" max="2" width="11.1796875" customWidth="1"/>
    <col min="3" max="3" width="20.1796875" customWidth="1"/>
    <col min="4" max="4" width="13.1796875" style="135" customWidth="1"/>
    <col min="5" max="5" width="14" customWidth="1"/>
    <col min="6" max="6" width="22.54296875" customWidth="1"/>
    <col min="7" max="7" width="3.1796875" customWidth="1"/>
    <col min="8" max="8" width="11.1796875" customWidth="1"/>
    <col min="9" max="9" width="14.54296875" customWidth="1"/>
    <col min="10" max="10" width="0.81640625" customWidth="1"/>
    <col min="11" max="11" width="0.453125" customWidth="1"/>
    <col min="13" max="13" width="18.453125" customWidth="1"/>
    <col min="14" max="14" width="16.1796875" style="136" customWidth="1"/>
    <col min="15" max="15" width="8" customWidth="1"/>
    <col min="16" max="16" width="15.453125" customWidth="1"/>
    <col min="17" max="17" width="16.1796875" customWidth="1"/>
    <col min="18" max="18" width="4.81640625" customWidth="1"/>
    <col min="19" max="19" width="22.54296875" customWidth="1"/>
  </cols>
  <sheetData>
    <row r="1" spans="1:53" s="158" customFormat="1" ht="13" x14ac:dyDescent="0.3">
      <c r="A1" s="122"/>
      <c r="B1" s="102" t="s">
        <v>2</v>
      </c>
      <c r="C1" s="499">
        <f>FORM!I20</f>
        <v>45901</v>
      </c>
      <c r="D1" s="238"/>
      <c r="F1" s="238"/>
      <c r="G1" s="238"/>
      <c r="H1" s="180" t="s">
        <v>92</v>
      </c>
      <c r="I1" s="515" t="s">
        <v>88</v>
      </c>
      <c r="J1" s="138"/>
      <c r="K1" s="122"/>
      <c r="L1" s="239" t="s">
        <v>2</v>
      </c>
      <c r="M1" s="499">
        <f>C1</f>
        <v>45901</v>
      </c>
      <c r="N1" s="238"/>
      <c r="O1" s="122"/>
      <c r="Q1" s="239" t="s">
        <v>92</v>
      </c>
      <c r="R1" s="1494" t="s">
        <v>90</v>
      </c>
      <c r="S1" s="1494"/>
      <c r="T1" s="122"/>
    </row>
    <row r="2" spans="1:53" s="6" customFormat="1" ht="12.5" x14ac:dyDescent="0.25">
      <c r="A2" s="105"/>
      <c r="B2" s="105"/>
      <c r="C2" s="106"/>
      <c r="D2" s="106"/>
      <c r="E2" s="105"/>
      <c r="F2" s="105"/>
      <c r="G2" s="107"/>
      <c r="H2" s="107"/>
      <c r="I2" s="107"/>
      <c r="J2" s="111"/>
      <c r="K2" s="107"/>
      <c r="L2" s="105"/>
      <c r="M2" s="106"/>
      <c r="N2" s="106"/>
      <c r="O2" s="105"/>
      <c r="P2" s="105"/>
      <c r="Q2" s="105"/>
      <c r="R2" s="1438"/>
      <c r="S2" s="1438"/>
      <c r="T2" s="105"/>
    </row>
    <row r="3" spans="1:53" s="143" customFormat="1" ht="12.75" customHeight="1" x14ac:dyDescent="0.3">
      <c r="A3" s="107"/>
      <c r="B3" s="1214" t="s">
        <v>169</v>
      </c>
      <c r="C3" s="1214"/>
      <c r="D3" s="1214"/>
      <c r="E3" s="1214"/>
      <c r="F3" s="1214"/>
      <c r="G3" s="1214"/>
      <c r="H3" s="1214"/>
      <c r="I3" s="1214"/>
      <c r="J3" s="183"/>
      <c r="K3" s="184"/>
      <c r="L3" s="1214" t="s">
        <v>3</v>
      </c>
      <c r="M3" s="1214"/>
      <c r="N3" s="1214"/>
      <c r="O3" s="1214"/>
      <c r="P3" s="1214"/>
      <c r="Q3" s="1214"/>
      <c r="R3" s="1214"/>
      <c r="S3" s="1214"/>
      <c r="T3" s="105"/>
    </row>
    <row r="4" spans="1:53" s="143" customFormat="1" ht="12.75" customHeight="1" x14ac:dyDescent="0.3">
      <c r="A4" s="107"/>
      <c r="B4" s="1214"/>
      <c r="C4" s="1214"/>
      <c r="D4" s="1214"/>
      <c r="E4" s="1214"/>
      <c r="F4" s="1214"/>
      <c r="G4" s="1214"/>
      <c r="H4" s="1214"/>
      <c r="I4" s="1214"/>
      <c r="J4" s="183"/>
      <c r="K4" s="184"/>
      <c r="L4" s="1214"/>
      <c r="M4" s="1214"/>
      <c r="N4" s="1214"/>
      <c r="O4" s="1214"/>
      <c r="P4" s="1214"/>
      <c r="Q4" s="1214"/>
      <c r="R4" s="1214"/>
      <c r="S4" s="1214"/>
      <c r="T4" s="105"/>
    </row>
    <row r="5" spans="1:53" s="143" customFormat="1" ht="12.75" customHeight="1" x14ac:dyDescent="0.3">
      <c r="A5" s="107"/>
      <c r="B5" s="185"/>
      <c r="C5" s="185"/>
      <c r="D5" s="186"/>
      <c r="E5" s="185"/>
      <c r="F5" s="185"/>
      <c r="G5" s="185"/>
      <c r="H5" s="185"/>
      <c r="I5" s="185"/>
      <c r="J5" s="185"/>
      <c r="K5" s="185"/>
      <c r="L5" s="112"/>
      <c r="M5" s="113"/>
      <c r="N5" s="115"/>
      <c r="O5" s="113"/>
      <c r="P5" s="113"/>
      <c r="Q5" s="113"/>
      <c r="R5" s="113"/>
      <c r="S5" s="115"/>
      <c r="T5" s="105"/>
    </row>
    <row r="6" spans="1:53" s="682" customFormat="1" ht="12.5" x14ac:dyDescent="0.25">
      <c r="A6" s="123"/>
      <c r="B6" s="391" t="str">
        <f>'SPOT CASH_30 DAYS'!L7</f>
        <v>CLIENT'S NAME</v>
      </c>
      <c r="C6" s="392"/>
      <c r="D6" s="194" t="s">
        <v>5</v>
      </c>
      <c r="E6" s="1205" t="str">
        <f>FORM!I26</f>
        <v>buyer</v>
      </c>
      <c r="F6" s="1205"/>
      <c r="G6" s="1205"/>
      <c r="H6" s="1205"/>
      <c r="I6" s="1205"/>
      <c r="J6" s="125"/>
      <c r="K6" s="200"/>
      <c r="L6" s="391" t="str">
        <f>B6</f>
        <v>CLIENT'S NAME</v>
      </c>
      <c r="M6" s="396"/>
      <c r="N6" s="194" t="s">
        <v>5</v>
      </c>
      <c r="O6" s="1205" t="str">
        <f t="shared" ref="O6:O11" si="0">E6</f>
        <v>buyer</v>
      </c>
      <c r="P6" s="1205"/>
      <c r="Q6" s="1205"/>
      <c r="R6" s="1205"/>
      <c r="S6" s="1205"/>
      <c r="T6" s="122"/>
      <c r="AM6" s="683"/>
      <c r="AZ6" s="684"/>
      <c r="BA6" s="685"/>
    </row>
    <row r="7" spans="1:53" s="682" customFormat="1" ht="12.5" x14ac:dyDescent="0.25">
      <c r="A7" s="123"/>
      <c r="B7" s="391" t="str">
        <f>'SPOT CASH_30 DAYS'!L8</f>
        <v>PROJECT NAME</v>
      </c>
      <c r="C7" s="393"/>
      <c r="D7" s="194" t="s">
        <v>5</v>
      </c>
      <c r="E7" s="1205" t="str">
        <f>FORM!I11</f>
        <v>The Southprime Flats</v>
      </c>
      <c r="F7" s="1205"/>
      <c r="G7" s="1205"/>
      <c r="H7" s="1205"/>
      <c r="I7" s="1205"/>
      <c r="J7" s="125"/>
      <c r="K7" s="200"/>
      <c r="L7" s="391" t="str">
        <f t="shared" ref="L7:L11" si="1">B7</f>
        <v>PROJECT NAME</v>
      </c>
      <c r="M7" s="213"/>
      <c r="N7" s="194" t="s">
        <v>5</v>
      </c>
      <c r="O7" s="1205" t="str">
        <f t="shared" si="0"/>
        <v>The Southprime Flats</v>
      </c>
      <c r="P7" s="1205"/>
      <c r="Q7" s="1205"/>
      <c r="R7" s="1205"/>
      <c r="S7" s="1205"/>
      <c r="T7" s="122"/>
      <c r="AM7" s="683"/>
      <c r="AZ7" s="684"/>
      <c r="BA7" s="685"/>
    </row>
    <row r="8" spans="1:53" s="682" customFormat="1" ht="12.5" x14ac:dyDescent="0.25">
      <c r="A8" s="123"/>
      <c r="B8" s="391" t="str">
        <f>'SPOT CASH_30 DAYS'!L9</f>
        <v>PARKING SLOT NUMBER</v>
      </c>
      <c r="C8" s="393"/>
      <c r="D8" s="194" t="s">
        <v>5</v>
      </c>
      <c r="E8" s="1205" t="str">
        <f>'STANDARD COMP.'!E8</f>
        <v>GF-B1-12</v>
      </c>
      <c r="F8" s="1205"/>
      <c r="G8" s="1205"/>
      <c r="H8" s="1205"/>
      <c r="I8" s="1205"/>
      <c r="J8" s="125"/>
      <c r="K8" s="200"/>
      <c r="L8" s="391" t="str">
        <f t="shared" si="1"/>
        <v>PARKING SLOT NUMBER</v>
      </c>
      <c r="M8" s="213"/>
      <c r="N8" s="194" t="s">
        <v>5</v>
      </c>
      <c r="O8" s="1205" t="str">
        <f t="shared" si="0"/>
        <v>GF-B1-12</v>
      </c>
      <c r="P8" s="1205"/>
      <c r="Q8" s="1205"/>
      <c r="R8" s="1205"/>
      <c r="S8" s="1205"/>
      <c r="T8" s="122"/>
      <c r="AM8" s="683"/>
      <c r="AZ8" s="684"/>
      <c r="BA8" s="685"/>
    </row>
    <row r="9" spans="1:53" s="682" customFormat="1" ht="12.5" x14ac:dyDescent="0.25">
      <c r="A9" s="123"/>
      <c r="B9" s="391" t="str">
        <f>'SPOT CASH_30 DAYS'!L10</f>
        <v>BUILDING</v>
      </c>
      <c r="C9" s="393"/>
      <c r="D9" s="194" t="s">
        <v>5</v>
      </c>
      <c r="E9" s="1205" t="str">
        <f>'STANDARD COMP.'!N9</f>
        <v>Building 1</v>
      </c>
      <c r="F9" s="1205"/>
      <c r="G9" s="1205"/>
      <c r="H9" s="1205"/>
      <c r="I9" s="1205"/>
      <c r="J9" s="125"/>
      <c r="K9" s="200"/>
      <c r="L9" s="391" t="str">
        <f t="shared" si="1"/>
        <v>BUILDING</v>
      </c>
      <c r="M9" s="213"/>
      <c r="N9" s="194" t="s">
        <v>5</v>
      </c>
      <c r="O9" s="1205" t="str">
        <f t="shared" si="0"/>
        <v>Building 1</v>
      </c>
      <c r="P9" s="1205"/>
      <c r="Q9" s="1205"/>
      <c r="R9" s="1205"/>
      <c r="S9" s="1205"/>
      <c r="T9" s="122"/>
      <c r="AM9" s="683"/>
      <c r="AZ9" s="684"/>
      <c r="BA9" s="685"/>
    </row>
    <row r="10" spans="1:53" s="682" customFormat="1" ht="12.5" x14ac:dyDescent="0.25">
      <c r="A10" s="123"/>
      <c r="B10" s="391" t="str">
        <f>'SPOT CASH_30 DAYS'!L11</f>
        <v>PARKING MODEL</v>
      </c>
      <c r="C10" s="393"/>
      <c r="D10" s="194" t="s">
        <v>5</v>
      </c>
      <c r="E10" s="1205" t="str">
        <f>'STANDARD COMP.'!E10</f>
        <v>Single Slot</v>
      </c>
      <c r="F10" s="1205"/>
      <c r="G10" s="1205"/>
      <c r="H10" s="1205"/>
      <c r="I10" s="1205"/>
      <c r="J10" s="125"/>
      <c r="K10" s="200"/>
      <c r="L10" s="391" t="str">
        <f t="shared" si="1"/>
        <v>PARKING MODEL</v>
      </c>
      <c r="M10" s="213"/>
      <c r="N10" s="194" t="s">
        <v>5</v>
      </c>
      <c r="O10" s="1205" t="str">
        <f t="shared" si="0"/>
        <v>Single Slot</v>
      </c>
      <c r="P10" s="1205"/>
      <c r="Q10" s="1205"/>
      <c r="R10" s="1205"/>
      <c r="S10" s="1205"/>
      <c r="T10" s="122"/>
      <c r="AM10" s="683"/>
      <c r="AZ10" s="684"/>
      <c r="BA10" s="685"/>
    </row>
    <row r="11" spans="1:53" s="682" customFormat="1" ht="12.5" x14ac:dyDescent="0.25">
      <c r="A11" s="123"/>
      <c r="B11" s="391" t="str">
        <f>'SPOT CASH_30 DAYS'!L12</f>
        <v>TOTAL AREA</v>
      </c>
      <c r="C11" s="393"/>
      <c r="D11" s="194" t="s">
        <v>5</v>
      </c>
      <c r="E11" s="1260">
        <f>'STANDARD COMP.'!E11:F11</f>
        <v>13.5</v>
      </c>
      <c r="F11" s="1235"/>
      <c r="G11" s="1262" t="s">
        <v>11</v>
      </c>
      <c r="H11" s="1262"/>
      <c r="I11" s="1263"/>
      <c r="J11" s="125"/>
      <c r="K11" s="200"/>
      <c r="L11" s="391" t="str">
        <f t="shared" si="1"/>
        <v>TOTAL AREA</v>
      </c>
      <c r="M11" s="213"/>
      <c r="N11" s="194" t="s">
        <v>5</v>
      </c>
      <c r="O11" s="1260">
        <f t="shared" si="0"/>
        <v>13.5</v>
      </c>
      <c r="P11" s="1261"/>
      <c r="Q11" s="1262" t="s">
        <v>11</v>
      </c>
      <c r="R11" s="1262"/>
      <c r="S11" s="1263"/>
      <c r="T11" s="122"/>
      <c r="AM11" s="683"/>
      <c r="AZ11" s="684"/>
      <c r="BA11" s="685"/>
    </row>
    <row r="12" spans="1:53" s="158" customFormat="1" ht="13" x14ac:dyDescent="0.3">
      <c r="A12" s="123"/>
      <c r="B12" s="123"/>
      <c r="C12" s="123"/>
      <c r="D12" s="194"/>
      <c r="E12" s="123"/>
      <c r="F12" s="123"/>
      <c r="G12" s="123"/>
      <c r="H12" s="123"/>
      <c r="I12" s="123"/>
      <c r="J12" s="123"/>
      <c r="K12" s="123"/>
      <c r="L12" s="123"/>
      <c r="M12" s="123"/>
      <c r="N12" s="259"/>
      <c r="O12" s="123"/>
      <c r="P12" s="123"/>
      <c r="Q12" s="123"/>
      <c r="R12" s="123"/>
      <c r="S12" s="123"/>
      <c r="T12" s="122"/>
    </row>
    <row r="13" spans="1:53" s="158" customFormat="1" ht="13" x14ac:dyDescent="0.3">
      <c r="A13" s="123"/>
      <c r="B13" s="198" t="s">
        <v>16</v>
      </c>
      <c r="C13" s="392"/>
      <c r="D13" s="200" t="s">
        <v>5</v>
      </c>
      <c r="E13" s="628"/>
      <c r="F13" s="1493">
        <f>'STANDARD COMP.'!F13</f>
        <v>832787.56226250005</v>
      </c>
      <c r="G13" s="1493"/>
      <c r="H13" s="1493"/>
      <c r="I13" s="1493"/>
      <c r="J13" s="125"/>
      <c r="K13" s="125"/>
      <c r="L13" s="1221" t="s">
        <v>12</v>
      </c>
      <c r="M13" s="1221"/>
      <c r="N13" s="1222" t="s">
        <v>13</v>
      </c>
      <c r="O13" s="1221" t="s">
        <v>14</v>
      </c>
      <c r="P13" s="1221"/>
      <c r="Q13" s="1224" t="s">
        <v>15</v>
      </c>
      <c r="R13" s="1456"/>
      <c r="S13" s="1225"/>
      <c r="T13" s="122"/>
    </row>
    <row r="14" spans="1:53" s="161" customFormat="1" ht="13" x14ac:dyDescent="0.3">
      <c r="A14" s="123"/>
      <c r="B14" s="204" t="s">
        <v>18</v>
      </c>
      <c r="C14" s="213"/>
      <c r="D14" s="194" t="s">
        <v>5</v>
      </c>
      <c r="E14" s="686">
        <f>IF(E16&gt;18,10%,IF(E16&gt;=12,5%,IF(E16&gt;5,2.5%,)))</f>
        <v>0</v>
      </c>
      <c r="F14" s="1489">
        <f>F13*E14</f>
        <v>0</v>
      </c>
      <c r="G14" s="1489"/>
      <c r="H14" s="1489"/>
      <c r="I14" s="1489"/>
      <c r="J14" s="123"/>
      <c r="K14" s="123"/>
      <c r="L14" s="1221"/>
      <c r="M14" s="1221"/>
      <c r="N14" s="1222"/>
      <c r="O14" s="1221"/>
      <c r="P14" s="1221"/>
      <c r="Q14" s="1226"/>
      <c r="R14" s="1457"/>
      <c r="S14" s="1227"/>
      <c r="T14" s="8"/>
    </row>
    <row r="15" spans="1:53" s="158" customFormat="1" ht="13" x14ac:dyDescent="0.3">
      <c r="A15" s="125"/>
      <c r="B15" s="204" t="s">
        <v>167</v>
      </c>
      <c r="C15" s="213"/>
      <c r="D15" s="194" t="s">
        <v>5</v>
      </c>
      <c r="E15" s="686"/>
      <c r="F15" s="1489">
        <f>'STANDARD COMP.'!F14:I14</f>
        <v>0</v>
      </c>
      <c r="G15" s="1489"/>
      <c r="H15" s="1489"/>
      <c r="I15" s="1489"/>
      <c r="J15" s="125"/>
      <c r="K15" s="125"/>
      <c r="L15" s="1205" t="s">
        <v>17</v>
      </c>
      <c r="M15" s="1205"/>
      <c r="N15" s="463">
        <f>C1</f>
        <v>45901</v>
      </c>
      <c r="O15" s="1223">
        <f>F24</f>
        <v>10000</v>
      </c>
      <c r="P15" s="1223"/>
      <c r="Q15" s="1490"/>
      <c r="R15" s="1491"/>
      <c r="S15" s="1492"/>
      <c r="T15" s="122"/>
    </row>
    <row r="16" spans="1:53" s="161" customFormat="1" ht="13" x14ac:dyDescent="0.3">
      <c r="A16" s="123"/>
      <c r="B16" s="171" t="s">
        <v>81</v>
      </c>
      <c r="C16" s="130"/>
      <c r="D16" s="200" t="s">
        <v>5</v>
      </c>
      <c r="E16" s="767">
        <f>'STANDARD COMP.'!E26</f>
        <v>1</v>
      </c>
      <c r="F16" s="1493">
        <f>F13-(F14+F15)</f>
        <v>832787.56226250005</v>
      </c>
      <c r="G16" s="1493"/>
      <c r="H16" s="1493"/>
      <c r="I16" s="1493"/>
      <c r="J16" s="123"/>
      <c r="K16" s="123"/>
      <c r="L16" s="1495" t="s">
        <v>321</v>
      </c>
      <c r="M16" s="1205"/>
      <c r="N16" s="463">
        <f>N15+30</f>
        <v>45931</v>
      </c>
      <c r="O16" s="1223">
        <f>F25</f>
        <v>492590.56845184375</v>
      </c>
      <c r="P16" s="1223"/>
      <c r="Q16" s="1490"/>
      <c r="R16" s="1491"/>
      <c r="S16" s="1492"/>
      <c r="T16" s="8"/>
    </row>
    <row r="17" spans="1:20" s="158" customFormat="1" ht="13" x14ac:dyDescent="0.3">
      <c r="A17" s="123"/>
      <c r="B17" s="210"/>
      <c r="C17" s="123"/>
      <c r="D17" s="194"/>
      <c r="E17" s="194"/>
      <c r="F17" s="687">
        <f>E18*F16</f>
        <v>99934.507471500008</v>
      </c>
      <c r="G17" s="212"/>
      <c r="H17" s="212"/>
      <c r="I17" s="123"/>
      <c r="J17" s="123"/>
      <c r="K17" s="123"/>
      <c r="L17" s="1495" t="s">
        <v>322</v>
      </c>
      <c r="M17" s="1205"/>
      <c r="N17" s="463">
        <f>N15+60</f>
        <v>45961</v>
      </c>
      <c r="O17" s="1223">
        <f>F26</f>
        <v>492590.56845184375</v>
      </c>
      <c r="P17" s="1223"/>
      <c r="Q17" s="1490"/>
      <c r="R17" s="1491"/>
      <c r="S17" s="1492"/>
      <c r="T17" s="122"/>
    </row>
    <row r="18" spans="1:20" s="158" customFormat="1" ht="13" x14ac:dyDescent="0.3">
      <c r="A18" s="123"/>
      <c r="B18" s="213" t="s">
        <v>23</v>
      </c>
      <c r="C18" s="213"/>
      <c r="D18" s="194" t="s">
        <v>5</v>
      </c>
      <c r="E18" s="478">
        <v>0.12</v>
      </c>
      <c r="F18" s="1391">
        <f>F16*E18</f>
        <v>99934.507471500008</v>
      </c>
      <c r="G18" s="1391"/>
      <c r="H18" s="1391"/>
      <c r="I18" s="1391"/>
      <c r="J18" s="123"/>
      <c r="K18" s="123"/>
      <c r="L18" s="200"/>
      <c r="M18" s="200"/>
      <c r="N18" s="246"/>
      <c r="O18" s="492"/>
      <c r="P18" s="492"/>
      <c r="Q18" s="688"/>
      <c r="R18" s="125"/>
      <c r="S18" s="125"/>
      <c r="T18" s="122"/>
    </row>
    <row r="19" spans="1:20" s="158" customFormat="1" ht="13" x14ac:dyDescent="0.3">
      <c r="A19" s="123"/>
      <c r="B19" s="410" t="s">
        <v>25</v>
      </c>
      <c r="C19" s="166"/>
      <c r="D19" s="194" t="s">
        <v>5</v>
      </c>
      <c r="E19" s="616">
        <v>7.4999999999999997E-2</v>
      </c>
      <c r="F19" s="1391">
        <f>E19*F13</f>
        <v>62459.0671696875</v>
      </c>
      <c r="G19" s="1391"/>
      <c r="H19" s="1391"/>
      <c r="I19" s="1391"/>
      <c r="J19" s="123"/>
      <c r="K19" s="123"/>
      <c r="L19" s="200"/>
      <c r="M19" s="200"/>
      <c r="N19" s="246"/>
      <c r="O19" s="492"/>
      <c r="P19" s="492"/>
      <c r="Q19" s="688"/>
      <c r="R19" s="125"/>
      <c r="S19" s="125"/>
      <c r="T19" s="122"/>
    </row>
    <row r="20" spans="1:20" s="158" customFormat="1" ht="13" x14ac:dyDescent="0.3">
      <c r="A20" s="125"/>
      <c r="B20" s="210"/>
      <c r="C20" s="123"/>
      <c r="D20" s="194"/>
      <c r="E20" s="194"/>
      <c r="F20" s="212"/>
      <c r="G20" s="212"/>
      <c r="H20" s="212"/>
      <c r="I20" s="123"/>
      <c r="J20" s="123"/>
      <c r="K20" s="123"/>
      <c r="L20" s="200"/>
      <c r="M20" s="200"/>
      <c r="N20" s="246"/>
      <c r="O20" s="492"/>
      <c r="P20" s="492"/>
      <c r="Q20" s="688"/>
      <c r="R20" s="125"/>
      <c r="S20" s="125"/>
      <c r="T20" s="122"/>
    </row>
    <row r="21" spans="1:20" s="158" customFormat="1" ht="13" x14ac:dyDescent="0.3">
      <c r="A21" s="123"/>
      <c r="B21" s="171" t="s">
        <v>28</v>
      </c>
      <c r="C21" s="130"/>
      <c r="D21" s="200" t="s">
        <v>5</v>
      </c>
      <c r="E21" s="689"/>
      <c r="F21" s="1488">
        <f>F16+F18+F19</f>
        <v>995181.1369036875</v>
      </c>
      <c r="G21" s="1488"/>
      <c r="H21" s="1488"/>
      <c r="I21" s="1488"/>
      <c r="J21" s="125"/>
      <c r="K21" s="125"/>
      <c r="L21" s="232"/>
      <c r="M21" s="123"/>
      <c r="N21" s="259"/>
      <c r="O21" s="123"/>
      <c r="P21" s="123"/>
      <c r="Q21" s="123"/>
      <c r="R21" s="123"/>
      <c r="S21" s="123"/>
      <c r="T21" s="122"/>
    </row>
    <row r="22" spans="1:20" s="161" customFormat="1" ht="13" x14ac:dyDescent="0.3">
      <c r="A22" s="123"/>
      <c r="B22" s="210"/>
      <c r="C22" s="123"/>
      <c r="D22" s="194"/>
      <c r="E22" s="194"/>
      <c r="F22" s="212"/>
      <c r="G22" s="212"/>
      <c r="H22" s="212"/>
      <c r="I22" s="123"/>
      <c r="J22" s="123"/>
      <c r="K22" s="123"/>
      <c r="L22" s="232"/>
      <c r="M22" s="123"/>
      <c r="N22" s="259"/>
      <c r="O22" s="123"/>
      <c r="P22" s="123"/>
      <c r="Q22" s="123"/>
      <c r="R22" s="123"/>
      <c r="S22" s="123"/>
      <c r="T22" s="8"/>
    </row>
    <row r="23" spans="1:20" s="158" customFormat="1" ht="13" x14ac:dyDescent="0.3">
      <c r="A23" s="125"/>
      <c r="B23" s="1429" t="s">
        <v>82</v>
      </c>
      <c r="C23" s="1429"/>
      <c r="D23" s="194" t="s">
        <v>5</v>
      </c>
      <c r="E23" s="690">
        <v>1</v>
      </c>
      <c r="F23" s="1488">
        <f>E23*F21</f>
        <v>995181.1369036875</v>
      </c>
      <c r="G23" s="1488"/>
      <c r="H23" s="1488"/>
      <c r="I23" s="1488"/>
      <c r="J23" s="123"/>
      <c r="K23" s="123"/>
      <c r="L23" s="125" t="s">
        <v>70</v>
      </c>
      <c r="M23" s="125"/>
      <c r="N23" s="200"/>
      <c r="O23" s="125"/>
      <c r="Q23" s="125" t="s">
        <v>71</v>
      </c>
      <c r="R23" s="123"/>
      <c r="S23" s="123"/>
      <c r="T23" s="122"/>
    </row>
    <row r="24" spans="1:20" s="161" customFormat="1" ht="13" x14ac:dyDescent="0.3">
      <c r="A24" s="123"/>
      <c r="B24" s="1211" t="s">
        <v>225</v>
      </c>
      <c r="C24" s="1211"/>
      <c r="D24" s="200" t="s">
        <v>5</v>
      </c>
      <c r="E24" s="689"/>
      <c r="F24" s="1391">
        <f>'STANDARD COMP.'!F23</f>
        <v>10000</v>
      </c>
      <c r="G24" s="1391"/>
      <c r="H24" s="1391"/>
      <c r="I24" s="1391"/>
      <c r="J24" s="125"/>
      <c r="K24" s="125"/>
      <c r="L24" s="123"/>
      <c r="M24" s="123"/>
      <c r="N24" s="194"/>
      <c r="O24" s="123"/>
      <c r="P24" s="123"/>
      <c r="Q24" s="123"/>
      <c r="R24" s="123"/>
      <c r="S24" s="123"/>
      <c r="T24" s="8"/>
    </row>
    <row r="25" spans="1:20" s="161" customFormat="1" ht="13" x14ac:dyDescent="0.3">
      <c r="A25" s="125"/>
      <c r="B25" s="1429" t="s">
        <v>319</v>
      </c>
      <c r="C25" s="1429"/>
      <c r="D25" s="200" t="s">
        <v>5</v>
      </c>
      <c r="E25" s="224"/>
      <c r="F25" s="1266">
        <f>(F23-F24)/2</f>
        <v>492590.56845184375</v>
      </c>
      <c r="G25" s="1264"/>
      <c r="H25" s="1264"/>
      <c r="I25" s="1265"/>
      <c r="J25" s="125"/>
      <c r="K25" s="125"/>
      <c r="L25" s="123"/>
      <c r="M25" s="123"/>
      <c r="N25" s="194"/>
      <c r="O25" s="123"/>
      <c r="P25" s="123"/>
      <c r="Q25" s="123"/>
      <c r="R25" s="123"/>
      <c r="S25" s="123"/>
      <c r="T25" s="8"/>
    </row>
    <row r="26" spans="1:20" s="158" customFormat="1" ht="13" x14ac:dyDescent="0.3">
      <c r="A26" s="123"/>
      <c r="B26" s="1429" t="s">
        <v>320</v>
      </c>
      <c r="C26" s="1429"/>
      <c r="D26" s="200" t="s">
        <v>5</v>
      </c>
      <c r="E26" s="224"/>
      <c r="F26" s="1266">
        <f>F25</f>
        <v>492590.56845184375</v>
      </c>
      <c r="G26" s="1264"/>
      <c r="H26" s="1264"/>
      <c r="I26" s="1265"/>
      <c r="J26" s="123"/>
      <c r="K26" s="123"/>
      <c r="L26" s="1234" t="str">
        <f>FORM!I28</f>
        <v>selller</v>
      </c>
      <c r="M26" s="1234"/>
      <c r="N26" s="1234"/>
      <c r="O26" s="125"/>
      <c r="P26" s="125"/>
      <c r="Q26" s="1234" t="str">
        <f>FORM!I26</f>
        <v>buyer</v>
      </c>
      <c r="R26" s="1234"/>
      <c r="S26" s="1234"/>
      <c r="T26" s="122"/>
    </row>
    <row r="27" spans="1:20" s="158" customFormat="1" ht="13" x14ac:dyDescent="0.3">
      <c r="A27" s="123"/>
      <c r="B27" s="254"/>
      <c r="C27" s="123"/>
      <c r="D27" s="194"/>
      <c r="E27" s="123"/>
      <c r="F27" s="123"/>
      <c r="G27" s="123"/>
      <c r="H27" s="123"/>
      <c r="I27" s="123"/>
      <c r="J27" s="123"/>
      <c r="K27" s="123"/>
      <c r="L27" s="247" t="s">
        <v>73</v>
      </c>
      <c r="M27" s="1428"/>
      <c r="N27" s="1236"/>
      <c r="O27" s="123"/>
      <c r="P27" s="123"/>
      <c r="Q27" s="134" t="s">
        <v>74</v>
      </c>
      <c r="R27" s="1428"/>
      <c r="S27" s="1236"/>
      <c r="T27" s="122"/>
    </row>
    <row r="28" spans="1:20" s="161" customFormat="1" ht="13" x14ac:dyDescent="0.3">
      <c r="A28" s="123"/>
      <c r="B28" s="240"/>
      <c r="C28" s="158"/>
      <c r="D28" s="241"/>
      <c r="E28" s="175"/>
      <c r="F28" s="158"/>
      <c r="G28" s="158"/>
      <c r="H28" s="1487"/>
      <c r="I28" s="1487"/>
      <c r="J28" s="125"/>
      <c r="K28" s="125"/>
      <c r="L28" s="122"/>
      <c r="M28" s="122"/>
      <c r="N28" s="122"/>
      <c r="O28" s="122"/>
      <c r="P28" s="122"/>
      <c r="Q28" s="122"/>
      <c r="R28" s="122"/>
      <c r="S28" s="122"/>
      <c r="T28" s="8"/>
    </row>
    <row r="29" spans="1:20" s="158" customFormat="1" ht="13" x14ac:dyDescent="0.3">
      <c r="A29" s="123"/>
      <c r="B29" s="130" t="s">
        <v>202</v>
      </c>
      <c r="C29" s="242"/>
      <c r="D29" s="125"/>
      <c r="E29" s="125"/>
      <c r="F29" s="125"/>
      <c r="G29" s="125"/>
      <c r="H29" s="125"/>
      <c r="I29" s="243"/>
      <c r="J29" s="123"/>
      <c r="K29" s="123"/>
      <c r="M29" s="691"/>
      <c r="N29" s="691"/>
      <c r="T29" s="122"/>
    </row>
    <row r="30" spans="1:20" s="158" customFormat="1" ht="13" x14ac:dyDescent="0.3">
      <c r="A30" s="123"/>
      <c r="B30" s="125"/>
      <c r="C30" s="125"/>
      <c r="D30" s="125"/>
      <c r="E30" s="125"/>
      <c r="F30" s="125"/>
      <c r="G30" s="125"/>
      <c r="H30" s="125"/>
      <c r="I30" s="125"/>
      <c r="J30" s="123"/>
      <c r="K30" s="123"/>
      <c r="M30" s="691"/>
      <c r="N30" s="691"/>
      <c r="T30" s="122"/>
    </row>
    <row r="31" spans="1:20" s="158" customFormat="1" ht="13" x14ac:dyDescent="0.3">
      <c r="A31" s="123"/>
      <c r="B31" s="1221" t="s">
        <v>110</v>
      </c>
      <c r="C31" s="1221"/>
      <c r="D31" s="1221" t="s">
        <v>200</v>
      </c>
      <c r="E31" s="1221"/>
      <c r="F31" s="1221"/>
      <c r="G31" s="1221" t="s">
        <v>207</v>
      </c>
      <c r="H31" s="1221"/>
      <c r="I31" s="1221"/>
      <c r="J31" s="123"/>
      <c r="K31" s="123"/>
      <c r="M31" s="691"/>
      <c r="N31" s="691"/>
      <c r="T31" s="122"/>
    </row>
    <row r="32" spans="1:20" s="158" customFormat="1" ht="13" x14ac:dyDescent="0.3">
      <c r="A32" s="123"/>
      <c r="B32" s="1475">
        <f>'SPOT CASH_30 DAYS'!B33</f>
        <v>0</v>
      </c>
      <c r="C32" s="1476"/>
      <c r="D32" s="1475">
        <f>'SPOT CASH_30 DAYS'!D33</f>
        <v>0</v>
      </c>
      <c r="E32" s="1479"/>
      <c r="F32" s="1476"/>
      <c r="G32" s="1481">
        <f>'SPOT CASH_30 DAYS'!H33</f>
        <v>0</v>
      </c>
      <c r="H32" s="1482"/>
      <c r="I32" s="1483"/>
      <c r="J32" s="123"/>
      <c r="K32" s="123"/>
      <c r="M32" s="691"/>
      <c r="N32" s="691"/>
      <c r="T32" s="122"/>
    </row>
    <row r="33" spans="1:20" s="158" customFormat="1" ht="13" x14ac:dyDescent="0.3">
      <c r="A33" s="123"/>
      <c r="B33" s="1477"/>
      <c r="C33" s="1478"/>
      <c r="D33" s="1477"/>
      <c r="E33" s="1480"/>
      <c r="F33" s="1478"/>
      <c r="G33" s="1484"/>
      <c r="H33" s="1485"/>
      <c r="I33" s="1486"/>
      <c r="J33" s="123"/>
      <c r="K33" s="123"/>
      <c r="M33" s="691"/>
      <c r="N33" s="691"/>
      <c r="T33" s="122"/>
    </row>
    <row r="34" spans="1:20" s="158" customFormat="1" ht="13" x14ac:dyDescent="0.3">
      <c r="A34" s="123"/>
      <c r="B34" s="1475">
        <f>'SPOT CASH_30 DAYS'!B35</f>
        <v>0</v>
      </c>
      <c r="C34" s="1476"/>
      <c r="D34" s="1475">
        <f>'SPOT CASH_30 DAYS'!D35</f>
        <v>0</v>
      </c>
      <c r="E34" s="1479"/>
      <c r="F34" s="1476"/>
      <c r="G34" s="1481">
        <f>'SPOT CASH_30 DAYS'!H35</f>
        <v>0</v>
      </c>
      <c r="H34" s="1482"/>
      <c r="I34" s="1483"/>
      <c r="J34" s="123"/>
      <c r="K34" s="123"/>
      <c r="M34" s="691"/>
      <c r="N34" s="691"/>
      <c r="T34" s="122"/>
    </row>
    <row r="35" spans="1:20" s="158" customFormat="1" ht="13" x14ac:dyDescent="0.3">
      <c r="A35" s="123"/>
      <c r="B35" s="1477"/>
      <c r="C35" s="1478"/>
      <c r="D35" s="1477"/>
      <c r="E35" s="1480"/>
      <c r="F35" s="1478"/>
      <c r="G35" s="1484"/>
      <c r="H35" s="1485"/>
      <c r="I35" s="1486"/>
      <c r="J35" s="123"/>
      <c r="K35" s="123"/>
      <c r="N35" s="691"/>
      <c r="T35" s="122"/>
    </row>
    <row r="36" spans="1:20" s="158" customFormat="1" ht="16.5" customHeight="1" x14ac:dyDescent="0.3">
      <c r="A36" s="123"/>
      <c r="B36" s="1475">
        <f>'SPOT CASH_30 DAYS'!B37</f>
        <v>0</v>
      </c>
      <c r="C36" s="1476"/>
      <c r="D36" s="1475">
        <f>'SPOT CASH_30 DAYS'!D37</f>
        <v>0</v>
      </c>
      <c r="E36" s="1479"/>
      <c r="F36" s="1476"/>
      <c r="G36" s="1481">
        <f>'SPOT CASH_30 DAYS'!H37</f>
        <v>0</v>
      </c>
      <c r="H36" s="1482"/>
      <c r="I36" s="1483"/>
      <c r="J36" s="123"/>
      <c r="K36" s="123"/>
      <c r="N36" s="691"/>
      <c r="T36" s="122"/>
    </row>
    <row r="37" spans="1:20" s="158" customFormat="1" ht="13" x14ac:dyDescent="0.3">
      <c r="A37" s="123"/>
      <c r="B37" s="1477"/>
      <c r="C37" s="1478"/>
      <c r="D37" s="1477"/>
      <c r="E37" s="1480"/>
      <c r="F37" s="1478"/>
      <c r="G37" s="1484"/>
      <c r="H37" s="1485"/>
      <c r="I37" s="1486"/>
      <c r="J37" s="123"/>
      <c r="K37" s="123"/>
      <c r="N37" s="691"/>
      <c r="T37" s="122"/>
    </row>
    <row r="38" spans="1:20" s="158" customFormat="1" ht="16.5" customHeight="1" x14ac:dyDescent="0.3">
      <c r="A38" s="123"/>
      <c r="B38" s="1475">
        <f>'SPOT CASH_30 DAYS'!B39</f>
        <v>0</v>
      </c>
      <c r="C38" s="1476"/>
      <c r="D38" s="1475">
        <f>'SPOT CASH_30 DAYS'!D39</f>
        <v>0</v>
      </c>
      <c r="E38" s="1479"/>
      <c r="F38" s="1476"/>
      <c r="G38" s="1481">
        <f>'SPOT CASH_30 DAYS'!H39</f>
        <v>0</v>
      </c>
      <c r="H38" s="1482"/>
      <c r="I38" s="1483"/>
      <c r="J38" s="123"/>
      <c r="K38" s="123"/>
      <c r="N38" s="691"/>
      <c r="T38" s="122"/>
    </row>
    <row r="39" spans="1:20" s="158" customFormat="1" ht="13" x14ac:dyDescent="0.3">
      <c r="A39" s="123"/>
      <c r="B39" s="1477"/>
      <c r="C39" s="1478"/>
      <c r="D39" s="1477"/>
      <c r="E39" s="1480"/>
      <c r="F39" s="1478"/>
      <c r="G39" s="1484"/>
      <c r="H39" s="1485"/>
      <c r="I39" s="1486"/>
      <c r="J39" s="123"/>
      <c r="K39" s="123"/>
      <c r="N39" s="691"/>
      <c r="T39" s="122"/>
    </row>
    <row r="40" spans="1:20" s="158" customFormat="1" ht="12.75" customHeight="1" x14ac:dyDescent="0.3">
      <c r="A40" s="123"/>
      <c r="B40" s="1475">
        <f>'SPOT CASH_30 DAYS'!B41</f>
        <v>0</v>
      </c>
      <c r="C40" s="1476"/>
      <c r="D40" s="1475">
        <f>'SPOT CASH_30 DAYS'!D41</f>
        <v>0</v>
      </c>
      <c r="E40" s="1479"/>
      <c r="F40" s="1476"/>
      <c r="G40" s="1481">
        <f>'SPOT CASH_30 DAYS'!H41</f>
        <v>0</v>
      </c>
      <c r="H40" s="1482"/>
      <c r="I40" s="1483"/>
      <c r="J40" s="123"/>
      <c r="K40" s="123"/>
      <c r="N40" s="691"/>
      <c r="T40" s="122"/>
    </row>
    <row r="41" spans="1:20" s="158" customFormat="1" ht="15" customHeight="1" x14ac:dyDescent="0.3">
      <c r="A41" s="123"/>
      <c r="B41" s="1477"/>
      <c r="C41" s="1478"/>
      <c r="D41" s="1477"/>
      <c r="E41" s="1480"/>
      <c r="F41" s="1478"/>
      <c r="G41" s="1484"/>
      <c r="H41" s="1485"/>
      <c r="I41" s="1486"/>
      <c r="J41" s="123"/>
      <c r="K41" s="123"/>
      <c r="N41" s="691"/>
      <c r="T41" s="122"/>
    </row>
    <row r="42" spans="1:20" s="158" customFormat="1" ht="12.75" customHeight="1" x14ac:dyDescent="0.3">
      <c r="A42" s="123"/>
      <c r="B42" s="1475">
        <f>'SPOT CASH_30 DAYS'!B43</f>
        <v>0</v>
      </c>
      <c r="C42" s="1476"/>
      <c r="D42" s="1475">
        <f>'SPOT CASH_30 DAYS'!D43</f>
        <v>0</v>
      </c>
      <c r="E42" s="1479"/>
      <c r="F42" s="1476"/>
      <c r="G42" s="1481">
        <f>'SPOT CASH_30 DAYS'!H43</f>
        <v>0</v>
      </c>
      <c r="H42" s="1482"/>
      <c r="I42" s="1483"/>
      <c r="J42" s="125"/>
      <c r="K42" s="125"/>
      <c r="N42" s="691"/>
      <c r="T42" s="122"/>
    </row>
    <row r="43" spans="1:20" s="158" customFormat="1" ht="12.75" customHeight="1" x14ac:dyDescent="0.3">
      <c r="A43" s="123"/>
      <c r="B43" s="1477"/>
      <c r="C43" s="1478"/>
      <c r="D43" s="1477"/>
      <c r="E43" s="1480"/>
      <c r="F43" s="1478"/>
      <c r="G43" s="1484"/>
      <c r="H43" s="1485"/>
      <c r="I43" s="1486"/>
      <c r="J43" s="125"/>
      <c r="K43" s="125"/>
      <c r="N43" s="691"/>
      <c r="T43" s="122"/>
    </row>
    <row r="44" spans="1:20" s="158" customFormat="1" ht="12.75" customHeight="1" x14ac:dyDescent="0.3">
      <c r="A44" s="123"/>
      <c r="D44" s="241"/>
      <c r="J44" s="125"/>
      <c r="K44" s="125"/>
      <c r="N44" s="691"/>
      <c r="T44" s="122"/>
    </row>
    <row r="45" spans="1:20" s="158" customFormat="1" ht="12.75" customHeight="1" x14ac:dyDescent="0.3">
      <c r="A45" s="123"/>
      <c r="B45" s="429"/>
      <c r="C45" s="429" t="s">
        <v>222</v>
      </c>
      <c r="D45" s="1192"/>
      <c r="E45" s="1192"/>
      <c r="F45" s="1192"/>
      <c r="G45" s="125"/>
      <c r="H45" s="125"/>
      <c r="I45" s="125"/>
      <c r="J45" s="125"/>
      <c r="K45" s="125"/>
      <c r="N45" s="691"/>
      <c r="T45" s="122"/>
    </row>
    <row r="46" spans="1:20" s="158" customFormat="1" ht="12.75" customHeight="1" x14ac:dyDescent="0.3">
      <c r="A46" s="123"/>
      <c r="B46" s="125"/>
      <c r="C46" s="125"/>
      <c r="D46" s="125"/>
      <c r="E46" s="125"/>
      <c r="F46" s="125"/>
      <c r="G46" s="125"/>
      <c r="H46" s="125"/>
      <c r="I46" s="125"/>
      <c r="J46" s="125"/>
      <c r="K46" s="125"/>
      <c r="N46" s="691"/>
      <c r="T46" s="122"/>
    </row>
    <row r="47" spans="1:20" s="158" customFormat="1" ht="12.75" customHeight="1" x14ac:dyDescent="0.3">
      <c r="A47" s="123"/>
      <c r="D47" s="241"/>
      <c r="G47" s="125"/>
      <c r="H47" s="125"/>
      <c r="I47" s="125"/>
      <c r="J47" s="125"/>
      <c r="K47" s="125"/>
      <c r="N47" s="691"/>
      <c r="T47" s="122"/>
    </row>
    <row r="48" spans="1:20" s="158" customFormat="1" ht="12.75" customHeight="1" x14ac:dyDescent="0.3">
      <c r="A48" s="123"/>
      <c r="B48" s="123"/>
      <c r="C48" s="123"/>
      <c r="D48" s="194"/>
      <c r="E48" s="123"/>
      <c r="F48" s="123"/>
      <c r="G48" s="123"/>
      <c r="H48" s="123"/>
      <c r="I48" s="123"/>
      <c r="J48" s="125"/>
      <c r="K48" s="125"/>
      <c r="N48" s="691"/>
      <c r="T48" s="122"/>
    </row>
    <row r="49" spans="1:20" s="158" customFormat="1" ht="13" x14ac:dyDescent="0.3">
      <c r="A49" s="122"/>
      <c r="B49" s="125" t="s">
        <v>70</v>
      </c>
      <c r="C49" s="125"/>
      <c r="D49" s="200"/>
      <c r="E49" s="125"/>
      <c r="F49" s="125" t="s">
        <v>71</v>
      </c>
      <c r="G49" s="125"/>
      <c r="H49" s="123"/>
      <c r="I49" s="123"/>
      <c r="J49" s="123"/>
      <c r="K49" s="125"/>
      <c r="N49" s="691"/>
      <c r="T49" s="122"/>
    </row>
    <row r="50" spans="1:20" s="158" customFormat="1" ht="13" x14ac:dyDescent="0.3">
      <c r="A50" s="122"/>
      <c r="B50" s="123"/>
      <c r="C50" s="123"/>
      <c r="D50" s="194"/>
      <c r="E50" s="123"/>
      <c r="F50" s="123"/>
      <c r="G50" s="123"/>
      <c r="H50" s="123"/>
      <c r="I50" s="123"/>
      <c r="J50" s="123"/>
      <c r="K50" s="125"/>
      <c r="N50" s="691"/>
      <c r="T50" s="122"/>
    </row>
    <row r="51" spans="1:20" s="158" customFormat="1" ht="13" x14ac:dyDescent="0.3">
      <c r="A51" s="122"/>
      <c r="B51" s="123"/>
      <c r="C51" s="123"/>
      <c r="D51" s="194"/>
      <c r="E51" s="123"/>
      <c r="F51" s="123"/>
      <c r="G51" s="123"/>
      <c r="H51" s="123"/>
      <c r="I51" s="123"/>
      <c r="J51" s="123"/>
      <c r="K51" s="125"/>
      <c r="N51" s="691"/>
      <c r="T51" s="122"/>
    </row>
    <row r="52" spans="1:20" s="158" customFormat="1" ht="13" x14ac:dyDescent="0.3">
      <c r="B52" s="1234" t="str">
        <f>FORM!I28</f>
        <v>selller</v>
      </c>
      <c r="C52" s="1234"/>
      <c r="D52" s="1234"/>
      <c r="E52" s="125"/>
      <c r="F52" s="125"/>
      <c r="G52" s="1234" t="str">
        <f>FORM!I26</f>
        <v>buyer</v>
      </c>
      <c r="H52" s="1234"/>
      <c r="I52" s="1234"/>
      <c r="J52" s="123"/>
      <c r="K52" s="125"/>
      <c r="N52" s="691"/>
      <c r="T52" s="122"/>
    </row>
    <row r="53" spans="1:20" s="158" customFormat="1" ht="13" x14ac:dyDescent="0.3">
      <c r="A53" s="692">
        <f>F16*E18</f>
        <v>99934.507471500008</v>
      </c>
      <c r="B53" s="247" t="s">
        <v>73</v>
      </c>
      <c r="C53" s="1428"/>
      <c r="D53" s="1236"/>
      <c r="E53" s="123"/>
      <c r="F53" s="123"/>
      <c r="G53" s="1236" t="s">
        <v>73</v>
      </c>
      <c r="H53" s="1236"/>
      <c r="I53" s="1236"/>
      <c r="J53" s="123"/>
      <c r="K53" s="122"/>
      <c r="N53" s="691"/>
      <c r="T53" s="122"/>
    </row>
    <row r="54" spans="1:20" s="158" customFormat="1" ht="13" x14ac:dyDescent="0.3">
      <c r="B54" s="123"/>
      <c r="C54" s="123"/>
      <c r="D54" s="194"/>
      <c r="E54" s="123"/>
      <c r="F54" s="123"/>
      <c r="G54" s="123"/>
      <c r="H54" s="123"/>
      <c r="I54" s="123"/>
      <c r="J54" s="123"/>
      <c r="K54" s="122"/>
      <c r="N54" s="691"/>
      <c r="T54" s="122"/>
    </row>
    <row r="55" spans="1:20" s="158" customFormat="1" ht="13" x14ac:dyDescent="0.3">
      <c r="A55" s="693">
        <f>F16*12%</f>
        <v>99934.507471500008</v>
      </c>
      <c r="B55" s="123"/>
      <c r="C55" s="123"/>
      <c r="D55" s="194"/>
      <c r="E55" s="123"/>
      <c r="F55" s="123"/>
      <c r="G55" s="123"/>
      <c r="H55" s="123"/>
      <c r="I55" s="123"/>
      <c r="J55" s="123"/>
      <c r="K55" s="122"/>
      <c r="N55" s="691"/>
      <c r="T55" s="122"/>
    </row>
    <row r="56" spans="1:20" s="158" customFormat="1" ht="13" x14ac:dyDescent="0.3">
      <c r="B56" s="123"/>
      <c r="C56" s="123"/>
      <c r="D56" s="194"/>
      <c r="E56" s="123"/>
      <c r="F56" s="123"/>
      <c r="G56" s="123"/>
      <c r="H56" s="123"/>
      <c r="I56" s="123"/>
      <c r="J56" s="123"/>
      <c r="K56" s="122"/>
      <c r="N56" s="691"/>
      <c r="T56" s="122"/>
    </row>
    <row r="57" spans="1:20" s="158" customFormat="1" ht="13" x14ac:dyDescent="0.3">
      <c r="B57" s="122"/>
      <c r="C57" s="122"/>
      <c r="D57" s="176"/>
      <c r="E57" s="122"/>
      <c r="F57" s="122"/>
      <c r="G57" s="122"/>
      <c r="H57" s="122"/>
      <c r="I57" s="122"/>
      <c r="J57" s="122"/>
      <c r="K57" s="122"/>
      <c r="N57" s="691"/>
      <c r="T57" s="122"/>
    </row>
    <row r="58" spans="1:20" x14ac:dyDescent="0.35">
      <c r="B58" s="7"/>
      <c r="C58" s="7"/>
      <c r="D58" s="101"/>
      <c r="E58" s="7"/>
      <c r="F58" s="7"/>
      <c r="G58" s="7"/>
      <c r="H58" s="7"/>
      <c r="I58" s="7"/>
      <c r="J58" s="7"/>
      <c r="K58" s="7"/>
      <c r="T58" s="7"/>
    </row>
    <row r="59" spans="1:20" x14ac:dyDescent="0.35">
      <c r="B59" s="7"/>
      <c r="C59" s="7"/>
      <c r="D59" s="101"/>
      <c r="E59" s="7"/>
      <c r="F59" s="7"/>
      <c r="G59" s="7"/>
      <c r="H59" s="7"/>
      <c r="I59" s="7"/>
      <c r="J59" s="7"/>
      <c r="K59" s="7"/>
    </row>
    <row r="60" spans="1:20" x14ac:dyDescent="0.35">
      <c r="K60" s="7"/>
    </row>
    <row r="61" spans="1:20" x14ac:dyDescent="0.35">
      <c r="K61" s="7"/>
    </row>
    <row r="62" spans="1:20" x14ac:dyDescent="0.35">
      <c r="K62" s="7"/>
    </row>
    <row r="63" spans="1:20" x14ac:dyDescent="0.35">
      <c r="K63" s="7"/>
    </row>
    <row r="64" spans="1:20" x14ac:dyDescent="0.35">
      <c r="K64" s="7"/>
    </row>
    <row r="65" spans="11:11" x14ac:dyDescent="0.35">
      <c r="K65" s="7"/>
    </row>
  </sheetData>
  <sheetProtection algorithmName="SHA-512" hashValue="L8SFia2Emj4TBqt6YrC++14173IwdsySv/38hjSk57TO2RrzR+Jx+71H8fEm3x7y4CyGZxOYLdGx55AHA+iCmQ==" saltValue="VFc6cemekVluGdVY3bSU8Q==" spinCount="100000" sheet="1" formatCells="0" formatColumns="0" formatRows="0"/>
  <mergeCells count="77">
    <mergeCell ref="B32:C33"/>
    <mergeCell ref="D32:F33"/>
    <mergeCell ref="G32:I33"/>
    <mergeCell ref="B23:C23"/>
    <mergeCell ref="B24:C24"/>
    <mergeCell ref="B25:C25"/>
    <mergeCell ref="G31:I31"/>
    <mergeCell ref="D31:F31"/>
    <mergeCell ref="H28:I28"/>
    <mergeCell ref="B31:C31"/>
    <mergeCell ref="B26:C26"/>
    <mergeCell ref="F26:I26"/>
    <mergeCell ref="F21:I21"/>
    <mergeCell ref="L26:N26"/>
    <mergeCell ref="Q26:S26"/>
    <mergeCell ref="F23:I23"/>
    <mergeCell ref="F24:I24"/>
    <mergeCell ref="F25:I25"/>
    <mergeCell ref="M27:N27"/>
    <mergeCell ref="R27:S27"/>
    <mergeCell ref="R1:S1"/>
    <mergeCell ref="R2:S2"/>
    <mergeCell ref="L3:S4"/>
    <mergeCell ref="L13:M14"/>
    <mergeCell ref="N13:N14"/>
    <mergeCell ref="Q13:S14"/>
    <mergeCell ref="O15:P15"/>
    <mergeCell ref="O16:P16"/>
    <mergeCell ref="L15:M15"/>
    <mergeCell ref="Q15:S15"/>
    <mergeCell ref="Q16:S16"/>
    <mergeCell ref="L17:M17"/>
    <mergeCell ref="O17:P17"/>
    <mergeCell ref="Q17:S17"/>
    <mergeCell ref="E6:I6"/>
    <mergeCell ref="O6:S6"/>
    <mergeCell ref="B3:I4"/>
    <mergeCell ref="O11:P11"/>
    <mergeCell ref="Q11:S11"/>
    <mergeCell ref="O7:S7"/>
    <mergeCell ref="E8:I8"/>
    <mergeCell ref="O8:S8"/>
    <mergeCell ref="E7:I7"/>
    <mergeCell ref="E9:I9"/>
    <mergeCell ref="O9:S9"/>
    <mergeCell ref="F13:I13"/>
    <mergeCell ref="F14:I14"/>
    <mergeCell ref="O13:P14"/>
    <mergeCell ref="E10:I10"/>
    <mergeCell ref="O10:S10"/>
    <mergeCell ref="E11:F11"/>
    <mergeCell ref="G11:I11"/>
    <mergeCell ref="F19:I19"/>
    <mergeCell ref="F15:I15"/>
    <mergeCell ref="L16:M16"/>
    <mergeCell ref="F16:I16"/>
    <mergeCell ref="F18:I18"/>
    <mergeCell ref="B34:C35"/>
    <mergeCell ref="D34:F35"/>
    <mergeCell ref="G34:I35"/>
    <mergeCell ref="B36:C37"/>
    <mergeCell ref="D36:F37"/>
    <mergeCell ref="G36:I37"/>
    <mergeCell ref="D42:F43"/>
    <mergeCell ref="B42:C43"/>
    <mergeCell ref="G53:I53"/>
    <mergeCell ref="D45:F45"/>
    <mergeCell ref="D38:F39"/>
    <mergeCell ref="G38:I39"/>
    <mergeCell ref="B38:C39"/>
    <mergeCell ref="B40:C41"/>
    <mergeCell ref="D40:F41"/>
    <mergeCell ref="G40:I41"/>
    <mergeCell ref="G42:I43"/>
    <mergeCell ref="C53:D53"/>
    <mergeCell ref="B52:D52"/>
    <mergeCell ref="G52:I52"/>
  </mergeCells>
  <pageMargins left="0.59055118110236227" right="0.59055118110236227" top="1.1811023622047245"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58" max="18" man="1"/>
  </rowBreaks>
  <colBreaks count="1" manualBreakCount="1">
    <brk id="9" max="55"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A1:U123"/>
  <sheetViews>
    <sheetView showGridLines="0" showZeros="0" view="pageLayout" topLeftCell="A95" zoomScaleNormal="100" zoomScaleSheetLayoutView="85" workbookViewId="0">
      <selection activeCell="A113" sqref="A113:U113"/>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48"/>
      <c r="E21" s="1474"/>
      <c r="F21" s="1349"/>
      <c r="G21" s="50" t="s">
        <v>136</v>
      </c>
      <c r="H21" s="51"/>
      <c r="I21" s="52"/>
      <c r="J21" s="1330" t="str">
        <f>FORM!I14</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'SPOT EQUITY_30DAYS'!E12</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62"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419">
        <f>'SPOT CASH_60 DAYS (2)'!F13</f>
        <v>832787.56226250005</v>
      </c>
      <c r="J27" s="1420"/>
      <c r="K27" s="1420"/>
      <c r="L27" s="1420"/>
      <c r="M27" s="1420"/>
      <c r="N27" s="1420"/>
      <c r="O27" s="1420"/>
      <c r="P27" s="1420"/>
      <c r="Q27" s="1420"/>
      <c r="R27" s="1420"/>
      <c r="S27" s="1420"/>
      <c r="T27" s="1420"/>
      <c r="U27" s="1421"/>
    </row>
    <row r="28" spans="1:21" ht="14" x14ac:dyDescent="0.3">
      <c r="A28" s="50" t="s">
        <v>147</v>
      </c>
      <c r="B28" s="51"/>
      <c r="C28" s="53"/>
      <c r="D28" s="53"/>
      <c r="E28" s="53"/>
      <c r="F28" s="53"/>
      <c r="G28" s="53"/>
      <c r="H28" s="54"/>
      <c r="I28" s="1317">
        <f>'SPOT CASH_60 DAYS (2)'!F14+'SPOT CASH_60 DAYS (2)'!F15</f>
        <v>0</v>
      </c>
      <c r="J28" s="1318"/>
      <c r="K28" s="1318"/>
      <c r="L28" s="1318"/>
      <c r="M28" s="1318"/>
      <c r="N28" s="1318"/>
      <c r="O28" s="1318"/>
      <c r="P28" s="1318"/>
      <c r="Q28" s="1318"/>
      <c r="R28" s="1318"/>
      <c r="S28" s="1318"/>
      <c r="T28" s="1318"/>
      <c r="U28" s="1319"/>
    </row>
    <row r="29" spans="1:21" ht="14" x14ac:dyDescent="0.3">
      <c r="A29" s="60" t="s">
        <v>81</v>
      </c>
      <c r="B29" s="61"/>
      <c r="C29" s="62"/>
      <c r="D29" s="62"/>
      <c r="E29" s="62"/>
      <c r="F29" s="62"/>
      <c r="G29" s="62"/>
      <c r="H29" s="59"/>
      <c r="I29" s="1419">
        <f>'SPOT CASH_60 DAYS (2)'!F16</f>
        <v>832787.56226250005</v>
      </c>
      <c r="J29" s="1420"/>
      <c r="K29" s="1420"/>
      <c r="L29" s="1420"/>
      <c r="M29" s="1420"/>
      <c r="N29" s="1420"/>
      <c r="O29" s="1420"/>
      <c r="P29" s="1420"/>
      <c r="Q29" s="1420"/>
      <c r="R29" s="1420"/>
      <c r="S29" s="1420"/>
      <c r="T29" s="1420"/>
      <c r="U29" s="1421"/>
    </row>
    <row r="30" spans="1:21" ht="14" x14ac:dyDescent="0.3">
      <c r="A30" s="50" t="s">
        <v>148</v>
      </c>
      <c r="B30" s="51"/>
      <c r="C30" s="53"/>
      <c r="D30" s="53"/>
      <c r="E30" s="53"/>
      <c r="F30" s="53"/>
      <c r="G30" s="53"/>
      <c r="H30" s="54"/>
      <c r="I30" s="1419">
        <f>'SPOT CASH_60 DAYS (2)'!F19</f>
        <v>62459.0671696875</v>
      </c>
      <c r="J30" s="1420"/>
      <c r="K30" s="1420"/>
      <c r="L30" s="1420"/>
      <c r="M30" s="1420"/>
      <c r="N30" s="1420"/>
      <c r="O30" s="1420"/>
      <c r="P30" s="1420"/>
      <c r="Q30" s="1420"/>
      <c r="R30" s="1420"/>
      <c r="S30" s="1420"/>
      <c r="T30" s="1420"/>
      <c r="U30" s="1421"/>
    </row>
    <row r="31" spans="1:21" ht="14" x14ac:dyDescent="0.3">
      <c r="A31" s="50" t="s">
        <v>149</v>
      </c>
      <c r="B31" s="51"/>
      <c r="C31" s="53"/>
      <c r="D31" s="53"/>
      <c r="E31" s="53"/>
      <c r="F31" s="53"/>
      <c r="G31" s="53"/>
      <c r="H31" s="54"/>
      <c r="I31" s="1419">
        <f>'SPOT CASH_60 DAYS (2)'!F18</f>
        <v>99934.507471500008</v>
      </c>
      <c r="J31" s="1420"/>
      <c r="K31" s="1420"/>
      <c r="L31" s="1420"/>
      <c r="M31" s="1420"/>
      <c r="N31" s="1420"/>
      <c r="O31" s="1420"/>
      <c r="P31" s="1420"/>
      <c r="Q31" s="1420"/>
      <c r="R31" s="1420"/>
      <c r="S31" s="1420"/>
      <c r="T31" s="1420"/>
      <c r="U31" s="1421"/>
    </row>
    <row r="32" spans="1:21" ht="14" x14ac:dyDescent="0.3">
      <c r="A32" s="50" t="s">
        <v>150</v>
      </c>
      <c r="B32" s="51"/>
      <c r="C32" s="53"/>
      <c r="D32" s="53"/>
      <c r="E32" s="53"/>
      <c r="F32" s="53"/>
      <c r="G32" s="53"/>
      <c r="H32" s="54"/>
      <c r="I32" s="1419">
        <f>'SPOT CASH_60 DAYS (2)'!F21</f>
        <v>995181.1369036875</v>
      </c>
      <c r="J32" s="1420"/>
      <c r="K32" s="1420"/>
      <c r="L32" s="1420"/>
      <c r="M32" s="1420"/>
      <c r="N32" s="1420"/>
      <c r="O32" s="1420"/>
      <c r="P32" s="1420"/>
      <c r="Q32" s="1420"/>
      <c r="R32" s="1420"/>
      <c r="S32" s="1420"/>
      <c r="T32" s="1420"/>
      <c r="U32" s="1421"/>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496"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496"/>
      <c r="Q40" s="1496"/>
      <c r="R40" s="1496"/>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2705"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2706"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72707"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2708"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2709"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2710"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2711"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2712"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2713"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72714"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72715"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2716"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2717"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2718"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2719"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2720"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2721"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2722"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2723"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
  <dimension ref="A1:AW702"/>
  <sheetViews>
    <sheetView showZeros="0" view="pageLayout" topLeftCell="A4" zoomScale="70" zoomScaleNormal="100" zoomScaleSheetLayoutView="80" zoomScalePageLayoutView="70" workbookViewId="0">
      <selection activeCell="Z1" sqref="Z1:Z1048576"/>
    </sheetView>
  </sheetViews>
  <sheetFormatPr defaultColWidth="9.1796875" defaultRowHeight="14.5" x14ac:dyDescent="0.35"/>
  <cols>
    <col min="1" max="1" width="0.81640625" customWidth="1"/>
    <col min="2" max="2" width="11.453125" customWidth="1"/>
    <col min="3" max="3" width="17.1796875" customWidth="1"/>
    <col min="4" max="4" width="12.81640625" style="135" customWidth="1"/>
    <col min="5" max="5" width="15.1796875" customWidth="1"/>
    <col min="6" max="6" width="8.453125" customWidth="1"/>
    <col min="7" max="7" width="14.1796875" customWidth="1"/>
    <col min="8" max="8" width="11.81640625" customWidth="1"/>
    <col min="9" max="9" width="19" customWidth="1"/>
    <col min="10" max="10" width="0.453125" customWidth="1"/>
    <col min="12" max="12" width="17.54296875" customWidth="1"/>
    <col min="13" max="13" width="16.54296875" style="136" customWidth="1"/>
    <col min="14" max="14" width="5.453125" customWidth="1"/>
    <col min="15" max="15" width="19.1796875" customWidth="1"/>
    <col min="16" max="16" width="11.81640625" customWidth="1"/>
    <col min="17" max="17" width="7.81640625" customWidth="1"/>
    <col min="18" max="18" width="22.54296875" customWidth="1"/>
    <col min="20" max="20" width="21.453125" style="252" hidden="1" customWidth="1"/>
    <col min="21" max="21" width="9.1796875" style="252" hidden="1" customWidth="1"/>
    <col min="22" max="22" width="11.1796875" style="252" hidden="1" customWidth="1"/>
    <col min="23" max="23" width="9.1796875" hidden="1" customWidth="1"/>
    <col min="24" max="25" width="8" hidden="1" customWidth="1"/>
    <col min="26" max="26" width="10.1796875" hidden="1" customWidth="1"/>
  </cols>
  <sheetData>
    <row r="1" spans="1:49" s="694" customFormat="1" ht="16.5" customHeight="1" x14ac:dyDescent="0.35">
      <c r="A1" s="697"/>
      <c r="B1" s="180" t="s">
        <v>2</v>
      </c>
      <c r="C1" s="720">
        <f>FORM!I20</f>
        <v>45901</v>
      </c>
      <c r="D1" s="721"/>
      <c r="F1" s="721"/>
      <c r="G1" s="721"/>
      <c r="H1" s="180" t="s">
        <v>92</v>
      </c>
      <c r="I1" s="722" t="s">
        <v>88</v>
      </c>
      <c r="J1" s="697"/>
      <c r="K1" s="244" t="s">
        <v>2</v>
      </c>
      <c r="L1" s="723">
        <f>C1</f>
        <v>45901</v>
      </c>
      <c r="M1" s="721"/>
      <c r="N1" s="715"/>
      <c r="P1" s="239" t="s">
        <v>92</v>
      </c>
      <c r="Q1" s="1532" t="s">
        <v>90</v>
      </c>
      <c r="R1" s="1532"/>
      <c r="T1" s="699"/>
      <c r="U1" s="699"/>
      <c r="V1" s="699"/>
    </row>
    <row r="2" spans="1:49" s="694" customFormat="1" ht="16.5" customHeight="1" x14ac:dyDescent="0.35">
      <c r="A2" s="724"/>
      <c r="B2" s="724"/>
      <c r="C2" s="725"/>
      <c r="D2" s="725"/>
      <c r="E2" s="724"/>
      <c r="F2" s="724"/>
      <c r="G2" s="726"/>
      <c r="H2" s="726"/>
      <c r="I2" s="726"/>
      <c r="J2" s="697"/>
      <c r="K2" s="724"/>
      <c r="L2" s="725"/>
      <c r="M2" s="725"/>
      <c r="N2" s="724"/>
      <c r="O2" s="724"/>
      <c r="P2" s="724"/>
      <c r="Q2" s="1533"/>
      <c r="R2" s="1533"/>
      <c r="T2" s="699"/>
      <c r="U2" s="699"/>
      <c r="V2" s="699"/>
    </row>
    <row r="3" spans="1:49" s="694" customFormat="1" ht="15.75" customHeight="1" x14ac:dyDescent="0.35">
      <c r="A3" s="726"/>
      <c r="B3" s="1214" t="s">
        <v>194</v>
      </c>
      <c r="C3" s="1214"/>
      <c r="D3" s="1214"/>
      <c r="E3" s="1214"/>
      <c r="F3" s="1214"/>
      <c r="G3" s="1214"/>
      <c r="H3" s="1214"/>
      <c r="I3" s="1214"/>
      <c r="J3" s="726"/>
      <c r="K3" s="1214" t="s">
        <v>3</v>
      </c>
      <c r="L3" s="1214"/>
      <c r="M3" s="1214"/>
      <c r="N3" s="1214"/>
      <c r="O3" s="1214"/>
      <c r="P3" s="1214"/>
      <c r="Q3" s="1214"/>
      <c r="R3" s="1214"/>
      <c r="T3" s="699"/>
      <c r="U3" s="699"/>
      <c r="V3" s="699"/>
    </row>
    <row r="4" spans="1:49" s="694" customFormat="1" ht="15.75" customHeight="1" x14ac:dyDescent="0.35">
      <c r="A4" s="726"/>
      <c r="B4" s="1214"/>
      <c r="C4" s="1214"/>
      <c r="D4" s="1214"/>
      <c r="E4" s="1214"/>
      <c r="F4" s="1214"/>
      <c r="G4" s="1214"/>
      <c r="H4" s="1214"/>
      <c r="I4" s="1214"/>
      <c r="J4" s="726"/>
      <c r="K4" s="1214"/>
      <c r="L4" s="1214"/>
      <c r="M4" s="1214"/>
      <c r="N4" s="1214"/>
      <c r="O4" s="1214"/>
      <c r="P4" s="1214"/>
      <c r="Q4" s="1214"/>
      <c r="R4" s="1214"/>
      <c r="T4" s="699"/>
      <c r="U4" s="699"/>
      <c r="V4" s="699"/>
    </row>
    <row r="5" spans="1:49" s="710" customFormat="1" ht="13" x14ac:dyDescent="0.3">
      <c r="A5" s="726"/>
      <c r="B5" s="726"/>
      <c r="C5" s="726"/>
      <c r="D5" s="727"/>
      <c r="E5" s="726"/>
      <c r="F5" s="726"/>
      <c r="G5" s="726"/>
      <c r="H5" s="726"/>
      <c r="I5" s="726"/>
      <c r="J5" s="728"/>
      <c r="K5" s="729"/>
      <c r="L5" s="730"/>
      <c r="M5" s="731"/>
      <c r="N5" s="730"/>
      <c r="O5" s="730" t="s">
        <v>1</v>
      </c>
      <c r="P5" s="730"/>
      <c r="Q5" s="730"/>
      <c r="R5" s="731"/>
      <c r="T5" s="717"/>
      <c r="U5" s="717"/>
      <c r="V5" s="717"/>
    </row>
    <row r="6" spans="1:49" s="732" customFormat="1" ht="12.5" x14ac:dyDescent="0.25">
      <c r="A6" s="698"/>
      <c r="B6" s="391" t="str">
        <f>'SPOT CASH_60 DAYS (2)'!B6</f>
        <v>CLIENT'S NAME</v>
      </c>
      <c r="C6" s="392"/>
      <c r="D6" s="706" t="s">
        <v>5</v>
      </c>
      <c r="E6" s="1502" t="str">
        <f>FORM!I26</f>
        <v>buyer</v>
      </c>
      <c r="F6" s="1502"/>
      <c r="G6" s="1502"/>
      <c r="H6" s="1502"/>
      <c r="I6" s="1502"/>
      <c r="J6" s="727"/>
      <c r="K6" s="391" t="str">
        <f>B6</f>
        <v>CLIENT'S NAME</v>
      </c>
      <c r="L6" s="396"/>
      <c r="M6" s="706" t="s">
        <v>5</v>
      </c>
      <c r="N6" s="1502" t="str">
        <f t="shared" ref="N6:N11" si="0">E6</f>
        <v>buyer</v>
      </c>
      <c r="O6" s="1502"/>
      <c r="P6" s="1502"/>
      <c r="Q6" s="1502"/>
      <c r="R6" s="1502"/>
    </row>
    <row r="7" spans="1:49" s="717" customFormat="1" ht="13" x14ac:dyDescent="0.3">
      <c r="A7" s="698"/>
      <c r="B7" s="391" t="str">
        <f>'SPOT CASH_60 DAYS (2)'!B7</f>
        <v>PROJECT NAME</v>
      </c>
      <c r="C7" s="393"/>
      <c r="D7" s="706" t="s">
        <v>5</v>
      </c>
      <c r="E7" s="1502" t="str">
        <f>FORM!I11</f>
        <v>The Southprime Flats</v>
      </c>
      <c r="F7" s="1502"/>
      <c r="G7" s="1502"/>
      <c r="H7" s="1502"/>
      <c r="I7" s="1502"/>
      <c r="J7" s="733"/>
      <c r="K7" s="391" t="str">
        <f t="shared" ref="K7:K11" si="1">B7</f>
        <v>PROJECT NAME</v>
      </c>
      <c r="L7" s="213"/>
      <c r="M7" s="706" t="s">
        <v>5</v>
      </c>
      <c r="N7" s="1502" t="str">
        <f t="shared" si="0"/>
        <v>The Southprime Flats</v>
      </c>
      <c r="O7" s="1502"/>
      <c r="P7" s="1502"/>
      <c r="Q7" s="1502"/>
      <c r="R7" s="1502"/>
    </row>
    <row r="8" spans="1:49" s="717" customFormat="1" ht="13" x14ac:dyDescent="0.3">
      <c r="A8" s="698"/>
      <c r="B8" s="391" t="str">
        <f>'SPOT CASH_60 DAYS (2)'!B8</f>
        <v>PARKING SLOT NUMBER</v>
      </c>
      <c r="C8" s="393"/>
      <c r="D8" s="706" t="s">
        <v>5</v>
      </c>
      <c r="E8" s="1502" t="str">
        <f>'STANDARD COMP.'!E8</f>
        <v>GF-B1-12</v>
      </c>
      <c r="F8" s="1502"/>
      <c r="G8" s="1502"/>
      <c r="H8" s="1502"/>
      <c r="I8" s="1502"/>
      <c r="J8" s="733"/>
      <c r="K8" s="391" t="str">
        <f t="shared" si="1"/>
        <v>PARKING SLOT NUMBER</v>
      </c>
      <c r="L8" s="213"/>
      <c r="M8" s="706" t="s">
        <v>5</v>
      </c>
      <c r="N8" s="1502" t="str">
        <f t="shared" si="0"/>
        <v>GF-B1-12</v>
      </c>
      <c r="O8" s="1502"/>
      <c r="P8" s="1502"/>
      <c r="Q8" s="1502"/>
      <c r="R8" s="1502"/>
    </row>
    <row r="9" spans="1:49" s="717" customFormat="1" ht="13" x14ac:dyDescent="0.3">
      <c r="A9" s="698"/>
      <c r="B9" s="391" t="str">
        <f>'SPOT CASH_60 DAYS (2)'!B9</f>
        <v>BUILDING</v>
      </c>
      <c r="C9" s="393"/>
      <c r="D9" s="706" t="s">
        <v>5</v>
      </c>
      <c r="E9" s="1502" t="str">
        <f>'STANDARD COMP.'!N9</f>
        <v>Building 1</v>
      </c>
      <c r="F9" s="1502"/>
      <c r="G9" s="1502"/>
      <c r="H9" s="1502"/>
      <c r="I9" s="1502"/>
      <c r="J9" s="726"/>
      <c r="K9" s="391" t="str">
        <f t="shared" si="1"/>
        <v>BUILDING</v>
      </c>
      <c r="L9" s="213"/>
      <c r="M9" s="706" t="s">
        <v>5</v>
      </c>
      <c r="N9" s="1502" t="str">
        <f t="shared" si="0"/>
        <v>Building 1</v>
      </c>
      <c r="O9" s="1502"/>
      <c r="P9" s="1502"/>
      <c r="Q9" s="1502"/>
      <c r="R9" s="1502"/>
    </row>
    <row r="10" spans="1:49" s="734" customFormat="1" ht="12.5" x14ac:dyDescent="0.25">
      <c r="A10" s="698"/>
      <c r="B10" s="391" t="str">
        <f>'SPOT CASH_60 DAYS (2)'!B10</f>
        <v>PARKING MODEL</v>
      </c>
      <c r="C10" s="393"/>
      <c r="D10" s="706" t="s">
        <v>5</v>
      </c>
      <c r="E10" s="1502" t="str">
        <f>'STANDARD COMP.'!E10</f>
        <v>Single Slot</v>
      </c>
      <c r="F10" s="1502"/>
      <c r="G10" s="1502"/>
      <c r="H10" s="1502"/>
      <c r="I10" s="1502"/>
      <c r="J10" s="704"/>
      <c r="K10" s="391" t="str">
        <f t="shared" si="1"/>
        <v>PARKING MODEL</v>
      </c>
      <c r="L10" s="213"/>
      <c r="M10" s="706" t="s">
        <v>5</v>
      </c>
      <c r="N10" s="1502" t="str">
        <f t="shared" si="0"/>
        <v>Single Slot</v>
      </c>
      <c r="O10" s="1502"/>
      <c r="P10" s="1502"/>
      <c r="Q10" s="1502"/>
      <c r="R10" s="1502"/>
      <c r="T10" s="732"/>
      <c r="U10" s="732"/>
      <c r="V10" s="732"/>
      <c r="AI10" s="735"/>
      <c r="AV10" s="736"/>
      <c r="AW10" s="737"/>
    </row>
    <row r="11" spans="1:49" s="734" customFormat="1" ht="12.5" x14ac:dyDescent="0.25">
      <c r="A11" s="698"/>
      <c r="B11" s="391" t="str">
        <f>'SPOT CASH_60 DAYS (2)'!B11</f>
        <v>TOTAL AREA</v>
      </c>
      <c r="C11" s="393"/>
      <c r="D11" s="706" t="s">
        <v>5</v>
      </c>
      <c r="E11" s="1539">
        <f>'STANDARD COMP.'!E11:F11</f>
        <v>13.5</v>
      </c>
      <c r="F11" s="1540"/>
      <c r="G11" s="1543" t="s">
        <v>11</v>
      </c>
      <c r="H11" s="1543"/>
      <c r="I11" s="1544"/>
      <c r="J11" s="704"/>
      <c r="K11" s="391" t="str">
        <f t="shared" si="1"/>
        <v>TOTAL AREA</v>
      </c>
      <c r="L11" s="213"/>
      <c r="M11" s="706" t="s">
        <v>5</v>
      </c>
      <c r="N11" s="1539">
        <f t="shared" si="0"/>
        <v>13.5</v>
      </c>
      <c r="O11" s="1545"/>
      <c r="P11" s="1543" t="s">
        <v>11</v>
      </c>
      <c r="Q11" s="1543"/>
      <c r="R11" s="1544"/>
      <c r="T11" s="732"/>
      <c r="U11" s="732"/>
      <c r="V11" s="732"/>
      <c r="AI11" s="735"/>
      <c r="AV11" s="736"/>
      <c r="AW11" s="737"/>
    </row>
    <row r="12" spans="1:49" s="734" customFormat="1" ht="12.5" x14ac:dyDescent="0.25">
      <c r="A12" s="698"/>
      <c r="B12" s="698"/>
      <c r="C12" s="698"/>
      <c r="D12" s="706"/>
      <c r="E12" s="698"/>
      <c r="F12" s="698"/>
      <c r="G12" s="698"/>
      <c r="H12" s="698"/>
      <c r="I12" s="698"/>
      <c r="J12" s="704"/>
      <c r="K12" s="698"/>
      <c r="L12" s="698"/>
      <c r="M12" s="738"/>
      <c r="N12" s="698"/>
      <c r="O12" s="698"/>
      <c r="P12" s="698"/>
      <c r="Q12" s="698"/>
      <c r="R12" s="698"/>
      <c r="T12" s="732"/>
      <c r="U12" s="732"/>
      <c r="V12" s="732"/>
      <c r="AI12" s="735"/>
      <c r="AV12" s="736"/>
      <c r="AW12" s="737"/>
    </row>
    <row r="13" spans="1:49" s="734" customFormat="1" ht="16.5" customHeight="1" x14ac:dyDescent="0.25">
      <c r="A13" s="698"/>
      <c r="B13" s="198" t="s">
        <v>16</v>
      </c>
      <c r="C13" s="392"/>
      <c r="D13" s="705" t="s">
        <v>5</v>
      </c>
      <c r="E13" s="739"/>
      <c r="F13" s="1542">
        <f>'STANDARD COMP.'!F13</f>
        <v>832787.56226250005</v>
      </c>
      <c r="G13" s="1542"/>
      <c r="H13" s="1542"/>
      <c r="I13" s="1542"/>
      <c r="J13" s="704"/>
      <c r="K13" s="1361" t="s">
        <v>12</v>
      </c>
      <c r="L13" s="1361"/>
      <c r="M13" s="1534" t="s">
        <v>13</v>
      </c>
      <c r="N13" s="1361" t="s">
        <v>14</v>
      </c>
      <c r="O13" s="1361"/>
      <c r="P13" s="1361" t="s">
        <v>15</v>
      </c>
      <c r="Q13" s="1361"/>
      <c r="R13" s="1361"/>
      <c r="T13" s="732"/>
      <c r="U13" s="732"/>
      <c r="V13" s="740">
        <f>M15</f>
        <v>45901</v>
      </c>
      <c r="AI13" s="735"/>
      <c r="AV13" s="736"/>
      <c r="AW13" s="737"/>
    </row>
    <row r="14" spans="1:49" s="734" customFormat="1" ht="12.5" x14ac:dyDescent="0.25">
      <c r="A14" s="704"/>
      <c r="B14" s="204" t="s">
        <v>18</v>
      </c>
      <c r="C14" s="392"/>
      <c r="D14" s="705"/>
      <c r="E14" s="741"/>
      <c r="F14" s="1536">
        <f>E14*F13</f>
        <v>0</v>
      </c>
      <c r="G14" s="1537"/>
      <c r="H14" s="1537"/>
      <c r="I14" s="1538"/>
      <c r="J14" s="698" t="s">
        <v>1</v>
      </c>
      <c r="K14" s="1457"/>
      <c r="L14" s="1457"/>
      <c r="M14" s="1535"/>
      <c r="N14" s="1457"/>
      <c r="O14" s="1457"/>
      <c r="P14" s="1457"/>
      <c r="Q14" s="1457"/>
      <c r="R14" s="1457"/>
      <c r="T14" s="732"/>
      <c r="U14" s="732"/>
      <c r="V14" s="732"/>
      <c r="AI14" s="735"/>
      <c r="AV14" s="736"/>
      <c r="AW14" s="737"/>
    </row>
    <row r="15" spans="1:49" s="734" customFormat="1" ht="12.5" x14ac:dyDescent="0.25">
      <c r="A15" s="698"/>
      <c r="B15" s="204" t="s">
        <v>167</v>
      </c>
      <c r="C15" s="213"/>
      <c r="D15" s="706" t="s">
        <v>5</v>
      </c>
      <c r="E15" s="742"/>
      <c r="F15" s="1541">
        <f>SUM(FORM!V19:V21)+SUM(FORM!V25:V27)</f>
        <v>0</v>
      </c>
      <c r="G15" s="1541"/>
      <c r="H15" s="1541"/>
      <c r="I15" s="1541"/>
      <c r="J15" s="698"/>
      <c r="K15" s="1504" t="s">
        <v>17</v>
      </c>
      <c r="L15" s="1505"/>
      <c r="M15" s="712">
        <f>C1</f>
        <v>45901</v>
      </c>
      <c r="N15" s="1506">
        <f>F25</f>
        <v>10000</v>
      </c>
      <c r="O15" s="1507"/>
      <c r="P15" s="1497"/>
      <c r="Q15" s="1498"/>
      <c r="R15" s="1499"/>
      <c r="T15" s="732"/>
      <c r="U15" s="732"/>
      <c r="V15" s="740"/>
      <c r="AI15" s="735"/>
      <c r="AV15" s="736"/>
      <c r="AW15" s="737"/>
    </row>
    <row r="16" spans="1:49" s="710" customFormat="1" ht="13" x14ac:dyDescent="0.3">
      <c r="A16" s="698"/>
      <c r="B16" s="171" t="s">
        <v>81</v>
      </c>
      <c r="C16" s="130"/>
      <c r="D16" s="705" t="s">
        <v>5</v>
      </c>
      <c r="E16" s="743"/>
      <c r="F16" s="1542">
        <f>F13-(F14+F15)</f>
        <v>832787.56226250005</v>
      </c>
      <c r="G16" s="1542"/>
      <c r="H16" s="1542"/>
      <c r="I16" s="1542"/>
      <c r="J16" s="704"/>
      <c r="K16" s="1502" t="str">
        <f t="shared" ref="K16:K37" si="2">IF(N16&gt;1,T17,0)</f>
        <v>1st EQUITY PAYMENT</v>
      </c>
      <c r="L16" s="1502"/>
      <c r="M16" s="712">
        <f t="shared" ref="M16:M51" si="3">IF(N16&gt;1,V17,0)</f>
        <v>45935</v>
      </c>
      <c r="N16" s="1503">
        <f>IF(E28&gt;0,F28,0)</f>
        <v>985181.1369036875</v>
      </c>
      <c r="O16" s="1503"/>
      <c r="P16" s="1497"/>
      <c r="Q16" s="1498"/>
      <c r="R16" s="1499"/>
      <c r="T16" s="717"/>
      <c r="U16" s="717"/>
      <c r="V16" s="717"/>
    </row>
    <row r="17" spans="1:26" s="710" customFormat="1" ht="13" x14ac:dyDescent="0.3">
      <c r="A17" s="698"/>
      <c r="B17" s="744"/>
      <c r="C17" s="698"/>
      <c r="D17" s="706"/>
      <c r="E17" s="706"/>
      <c r="F17" s="745"/>
      <c r="G17" s="746">
        <f>E18*F16</f>
        <v>99934.507471500008</v>
      </c>
      <c r="H17" s="745"/>
      <c r="I17" s="698"/>
      <c r="J17" s="698"/>
      <c r="K17" s="1502">
        <f t="shared" si="2"/>
        <v>0</v>
      </c>
      <c r="L17" s="1502"/>
      <c r="M17" s="712">
        <f t="shared" si="3"/>
        <v>0</v>
      </c>
      <c r="N17" s="1503">
        <f>IF(E28&gt;1,F28,0)</f>
        <v>0</v>
      </c>
      <c r="O17" s="1503"/>
      <c r="P17" s="1497"/>
      <c r="Q17" s="1498"/>
      <c r="R17" s="1499"/>
      <c r="T17" s="717" t="s">
        <v>20</v>
      </c>
      <c r="U17" s="717"/>
      <c r="V17" s="713">
        <f>IF(DAY(V13)=31,X17,Z17)</f>
        <v>45935</v>
      </c>
      <c r="W17" s="747" t="s">
        <v>230</v>
      </c>
      <c r="X17" s="1500" t="b">
        <f>IF(DAY(V13)=31,DATE(YEAR(V13),MONTH(V13)+2,DAY(5)))</f>
        <v>0</v>
      </c>
      <c r="Y17" s="1501"/>
      <c r="Z17" s="748">
        <f>IF(AND(DAY(V13)&gt;=6,DAY(V13)&lt;=20),DATE(YEAR(V13),MONTH(V13)+1,DAY(20)),IF(AND(DAY(V13)&gt;=21,DAY(V13)&lt;=30),DATE(YEAR(V13),MONTH(V13)+1,IF(DAY(EOMONTH(V13,1))&lt;31,DAY(EOMONTH(V13,1)),DAY(30))),DATE(YEAR(V13),MONTH(V13)+1,DAY(5))))</f>
        <v>45935</v>
      </c>
    </row>
    <row r="18" spans="1:26" s="750" customFormat="1" ht="13" x14ac:dyDescent="0.3">
      <c r="A18" s="698"/>
      <c r="B18" s="213" t="s">
        <v>23</v>
      </c>
      <c r="C18" s="213"/>
      <c r="D18" s="706" t="s">
        <v>5</v>
      </c>
      <c r="E18" s="749">
        <f>'STANDARD COMP.'!E17</f>
        <v>0.12</v>
      </c>
      <c r="F18" s="1528">
        <f>(F13-F14-F15-F24)*E18</f>
        <v>99934.507471500008</v>
      </c>
      <c r="G18" s="1528"/>
      <c r="H18" s="1528"/>
      <c r="I18" s="1528"/>
      <c r="J18" s="704"/>
      <c r="K18" s="1502">
        <f t="shared" si="2"/>
        <v>0</v>
      </c>
      <c r="L18" s="1502"/>
      <c r="M18" s="712">
        <f t="shared" si="3"/>
        <v>0</v>
      </c>
      <c r="N18" s="1503">
        <f>IF(E28&gt;2,F28,0)</f>
        <v>0</v>
      </c>
      <c r="O18" s="1503"/>
      <c r="P18" s="1497"/>
      <c r="Q18" s="1498"/>
      <c r="R18" s="1499"/>
      <c r="T18" s="717" t="s">
        <v>21</v>
      </c>
      <c r="U18" s="717"/>
      <c r="V18" s="713">
        <f>IF(AND(DAY(V17)&gt;=6,DAY(V17)&lt;=20),DATE(YEAR(V17),MONTH(V17)+1,DAY(20)),IF(AND(DAY(V17)&gt;=21,DAY(V17)&lt;=30),DATE(YEAR(V17),MONTH(V17)+1,IF(DAY(EOMONTH(V17,1))&lt;30,DAY(EOMONTH(V17,1)),DAY(30))),DATE(YEAR(V17),MONTH(V17)+1,DAY(5))))</f>
        <v>45966</v>
      </c>
    </row>
    <row r="19" spans="1:26" s="710" customFormat="1" ht="13" x14ac:dyDescent="0.3">
      <c r="A19" s="704"/>
      <c r="B19" s="410" t="s">
        <v>25</v>
      </c>
      <c r="C19" s="166"/>
      <c r="D19" s="706" t="s">
        <v>5</v>
      </c>
      <c r="E19" s="751">
        <v>7.4999999999999997E-2</v>
      </c>
      <c r="F19" s="1528">
        <f>E19*F13</f>
        <v>62459.0671696875</v>
      </c>
      <c r="G19" s="1528"/>
      <c r="H19" s="1528"/>
      <c r="I19" s="1528"/>
      <c r="J19" s="698"/>
      <c r="K19" s="1502">
        <f t="shared" si="2"/>
        <v>0</v>
      </c>
      <c r="L19" s="1502"/>
      <c r="M19" s="712">
        <f t="shared" si="3"/>
        <v>0</v>
      </c>
      <c r="N19" s="1503">
        <f>IF(E28&gt;3,F28,0)</f>
        <v>0</v>
      </c>
      <c r="O19" s="1503"/>
      <c r="P19" s="1497"/>
      <c r="Q19" s="1498"/>
      <c r="R19" s="1499"/>
      <c r="T19" s="717" t="s">
        <v>22</v>
      </c>
      <c r="U19" s="717"/>
      <c r="V19" s="713">
        <f t="shared" ref="V19:V69" si="4">IF(AND(DAY(V18)&gt;=6,DAY(V18)&lt;=20),DATE(YEAR(V18),MONTH(V18)+1,DAY(20)),IF(AND(DAY(V18)&gt;=21,DAY(V18)&lt;=30),DATE(YEAR(V18),MONTH(V18)+1,IF(DAY(EOMONTH(V18,1))&lt;30,DAY(EOMONTH(V18,1)),DAY(30))),DATE(YEAR(V18),MONTH(V18)+1,DAY(5))))</f>
        <v>45996</v>
      </c>
    </row>
    <row r="20" spans="1:26" s="750" customFormat="1" ht="13" x14ac:dyDescent="0.3">
      <c r="A20" s="698"/>
      <c r="B20" s="744"/>
      <c r="C20" s="698"/>
      <c r="D20" s="706"/>
      <c r="E20" s="706"/>
      <c r="F20" s="745"/>
      <c r="G20" s="745"/>
      <c r="H20" s="745"/>
      <c r="I20" s="698"/>
      <c r="J20" s="698"/>
      <c r="K20" s="1502">
        <f t="shared" si="2"/>
        <v>0</v>
      </c>
      <c r="L20" s="1502"/>
      <c r="M20" s="712">
        <f t="shared" si="3"/>
        <v>0</v>
      </c>
      <c r="N20" s="1503">
        <f>IF(E28&gt;4,F28,0)</f>
        <v>0</v>
      </c>
      <c r="O20" s="1503"/>
      <c r="P20" s="1497"/>
      <c r="Q20" s="1498"/>
      <c r="R20" s="1499"/>
      <c r="T20" s="717" t="s">
        <v>24</v>
      </c>
      <c r="U20" s="717"/>
      <c r="V20" s="713">
        <f t="shared" si="4"/>
        <v>46027</v>
      </c>
    </row>
    <row r="21" spans="1:26" s="710" customFormat="1" ht="13" x14ac:dyDescent="0.3">
      <c r="A21" s="698"/>
      <c r="B21" s="171" t="s">
        <v>28</v>
      </c>
      <c r="C21" s="130"/>
      <c r="D21" s="705" t="s">
        <v>5</v>
      </c>
      <c r="E21" s="752"/>
      <c r="F21" s="1527">
        <f>F16+F18+F19</f>
        <v>995181.1369036875</v>
      </c>
      <c r="G21" s="1527"/>
      <c r="H21" s="1527"/>
      <c r="I21" s="1527"/>
      <c r="J21" s="698"/>
      <c r="K21" s="1502">
        <f t="shared" si="2"/>
        <v>0</v>
      </c>
      <c r="L21" s="1502"/>
      <c r="M21" s="712">
        <f t="shared" si="3"/>
        <v>0</v>
      </c>
      <c r="N21" s="1503">
        <f>IF(E28&gt;5,F28,0)</f>
        <v>0</v>
      </c>
      <c r="O21" s="1503"/>
      <c r="P21" s="1497"/>
      <c r="Q21" s="1498"/>
      <c r="R21" s="1499"/>
      <c r="T21" s="717" t="s">
        <v>26</v>
      </c>
      <c r="U21" s="717"/>
      <c r="V21" s="713">
        <f t="shared" si="4"/>
        <v>46058</v>
      </c>
    </row>
    <row r="22" spans="1:26" s="710" customFormat="1" ht="13" x14ac:dyDescent="0.3">
      <c r="A22" s="704"/>
      <c r="B22" s="744"/>
      <c r="C22" s="698"/>
      <c r="D22" s="706"/>
      <c r="E22" s="706"/>
      <c r="F22" s="745"/>
      <c r="G22" s="745"/>
      <c r="H22" s="745"/>
      <c r="I22" s="698"/>
      <c r="J22" s="698"/>
      <c r="K22" s="1502">
        <f t="shared" si="2"/>
        <v>0</v>
      </c>
      <c r="L22" s="1502"/>
      <c r="M22" s="712">
        <f t="shared" si="3"/>
        <v>0</v>
      </c>
      <c r="N22" s="1503">
        <f>IF(E28&gt;6,F28,0)</f>
        <v>0</v>
      </c>
      <c r="O22" s="1503"/>
      <c r="P22" s="1497"/>
      <c r="Q22" s="1498"/>
      <c r="R22" s="1499"/>
      <c r="T22" s="717" t="s">
        <v>27</v>
      </c>
      <c r="U22" s="717"/>
      <c r="V22" s="713">
        <f t="shared" si="4"/>
        <v>46086</v>
      </c>
    </row>
    <row r="23" spans="1:26" s="710" customFormat="1" ht="13" x14ac:dyDescent="0.3">
      <c r="A23" s="698"/>
      <c r="B23" s="391" t="s">
        <v>176</v>
      </c>
      <c r="C23" s="396"/>
      <c r="D23" s="706" t="s">
        <v>5</v>
      </c>
      <c r="E23" s="753"/>
      <c r="F23" s="1528">
        <f>F21</f>
        <v>995181.1369036875</v>
      </c>
      <c r="G23" s="1528"/>
      <c r="H23" s="1528"/>
      <c r="I23" s="1528"/>
      <c r="J23" s="698"/>
      <c r="K23" s="1502">
        <f t="shared" si="2"/>
        <v>0</v>
      </c>
      <c r="L23" s="1502"/>
      <c r="M23" s="712">
        <f t="shared" si="3"/>
        <v>0</v>
      </c>
      <c r="N23" s="1503">
        <f>IF(E28&gt;7,F28,0)</f>
        <v>0</v>
      </c>
      <c r="O23" s="1503"/>
      <c r="P23" s="1497"/>
      <c r="Q23" s="1498"/>
      <c r="R23" s="1499"/>
      <c r="T23" s="717" t="s">
        <v>29</v>
      </c>
      <c r="U23" s="717"/>
      <c r="V23" s="713">
        <f t="shared" si="4"/>
        <v>46117</v>
      </c>
    </row>
    <row r="24" spans="1:26" s="710" customFormat="1" ht="13" x14ac:dyDescent="0.3">
      <c r="A24" s="704"/>
      <c r="B24" s="391"/>
      <c r="C24" s="396"/>
      <c r="D24" s="706" t="s">
        <v>5</v>
      </c>
      <c r="E24" s="753"/>
      <c r="F24" s="1529"/>
      <c r="G24" s="1530"/>
      <c r="H24" s="1530"/>
      <c r="I24" s="1531"/>
      <c r="J24" s="704"/>
      <c r="K24" s="1502">
        <f t="shared" si="2"/>
        <v>0</v>
      </c>
      <c r="L24" s="1502"/>
      <c r="M24" s="712">
        <f t="shared" si="3"/>
        <v>0</v>
      </c>
      <c r="N24" s="1503">
        <f>IF(E28&gt;8,F28,0)</f>
        <v>0</v>
      </c>
      <c r="O24" s="1503"/>
      <c r="P24" s="1497"/>
      <c r="Q24" s="1498"/>
      <c r="R24" s="1499"/>
      <c r="T24" s="717" t="s">
        <v>30</v>
      </c>
      <c r="U24" s="717"/>
      <c r="V24" s="713">
        <f t="shared" si="4"/>
        <v>46147</v>
      </c>
    </row>
    <row r="25" spans="1:26" s="710" customFormat="1" ht="13" x14ac:dyDescent="0.3">
      <c r="A25" s="698"/>
      <c r="B25" s="391" t="s">
        <v>225</v>
      </c>
      <c r="C25" s="396"/>
      <c r="D25" s="706" t="s">
        <v>5</v>
      </c>
      <c r="E25" s="753"/>
      <c r="F25" s="1528">
        <f>FORM!I22</f>
        <v>10000</v>
      </c>
      <c r="G25" s="1528"/>
      <c r="H25" s="1528"/>
      <c r="I25" s="1528"/>
      <c r="J25" s="698"/>
      <c r="K25" s="1502">
        <f t="shared" si="2"/>
        <v>0</v>
      </c>
      <c r="L25" s="1502"/>
      <c r="M25" s="712">
        <f t="shared" si="3"/>
        <v>0</v>
      </c>
      <c r="N25" s="1503">
        <f>IF(E28&gt;9,F28,0)</f>
        <v>0</v>
      </c>
      <c r="O25" s="1503"/>
      <c r="P25" s="1497"/>
      <c r="Q25" s="1498"/>
      <c r="R25" s="1499"/>
      <c r="T25" s="717" t="s">
        <v>31</v>
      </c>
      <c r="U25" s="717"/>
      <c r="V25" s="713">
        <f t="shared" si="4"/>
        <v>46178</v>
      </c>
    </row>
    <row r="26" spans="1:26" s="750" customFormat="1" ht="13" x14ac:dyDescent="0.3">
      <c r="A26" s="698"/>
      <c r="B26" s="709" t="s">
        <v>177</v>
      </c>
      <c r="C26" s="393"/>
      <c r="D26" s="705" t="s">
        <v>5</v>
      </c>
      <c r="E26" s="752"/>
      <c r="F26" s="1527">
        <f>F23-F25</f>
        <v>985181.1369036875</v>
      </c>
      <c r="G26" s="1527"/>
      <c r="H26" s="1527"/>
      <c r="I26" s="1527"/>
      <c r="J26" s="698"/>
      <c r="K26" s="1502">
        <f t="shared" si="2"/>
        <v>0</v>
      </c>
      <c r="L26" s="1502"/>
      <c r="M26" s="712">
        <f t="shared" si="3"/>
        <v>0</v>
      </c>
      <c r="N26" s="1503">
        <f>IF(E28&gt;10,F28,0)</f>
        <v>0</v>
      </c>
      <c r="O26" s="1503"/>
      <c r="P26" s="1497"/>
      <c r="Q26" s="1498"/>
      <c r="R26" s="1499"/>
      <c r="T26" s="717" t="s">
        <v>33</v>
      </c>
      <c r="U26" s="717"/>
      <c r="V26" s="713">
        <f t="shared" si="4"/>
        <v>46208</v>
      </c>
    </row>
    <row r="27" spans="1:26" s="710" customFormat="1" ht="13" x14ac:dyDescent="0.3">
      <c r="A27" s="698"/>
      <c r="B27" s="754"/>
      <c r="C27" s="755"/>
      <c r="D27" s="705"/>
      <c r="E27" s="705"/>
      <c r="F27" s="756"/>
      <c r="G27" s="756"/>
      <c r="H27" s="756"/>
      <c r="I27" s="756"/>
      <c r="J27" s="704"/>
      <c r="K27" s="1502">
        <f t="shared" si="2"/>
        <v>0</v>
      </c>
      <c r="L27" s="1502"/>
      <c r="M27" s="712">
        <f t="shared" si="3"/>
        <v>0</v>
      </c>
      <c r="N27" s="1503">
        <f>IF(E28&gt;11,F28,0)</f>
        <v>0</v>
      </c>
      <c r="O27" s="1503"/>
      <c r="P27" s="1497"/>
      <c r="Q27" s="1498"/>
      <c r="R27" s="1499"/>
      <c r="T27" s="717" t="s">
        <v>34</v>
      </c>
      <c r="U27" s="717"/>
      <c r="V27" s="713">
        <f t="shared" si="4"/>
        <v>46239</v>
      </c>
    </row>
    <row r="28" spans="1:26" s="750" customFormat="1" ht="13" x14ac:dyDescent="0.3">
      <c r="A28" s="698"/>
      <c r="B28" s="171" t="s">
        <v>178</v>
      </c>
      <c r="C28" s="166"/>
      <c r="D28" s="706" t="s">
        <v>5</v>
      </c>
      <c r="E28" s="752">
        <f>'STANDARD COMP.'!E26</f>
        <v>1</v>
      </c>
      <c r="F28" s="1526">
        <f>F26/E28</f>
        <v>985181.1369036875</v>
      </c>
      <c r="G28" s="1527"/>
      <c r="H28" s="1527"/>
      <c r="I28" s="1527"/>
      <c r="J28" s="704"/>
      <c r="K28" s="1502">
        <f t="shared" si="2"/>
        <v>0</v>
      </c>
      <c r="L28" s="1502"/>
      <c r="M28" s="712">
        <f t="shared" si="3"/>
        <v>0</v>
      </c>
      <c r="N28" s="1503">
        <f>IF(E28&gt;12,F28,0)</f>
        <v>0</v>
      </c>
      <c r="O28" s="1503"/>
      <c r="P28" s="1497"/>
      <c r="Q28" s="1498"/>
      <c r="R28" s="1499"/>
      <c r="T28" s="717" t="s">
        <v>35</v>
      </c>
      <c r="U28" s="717"/>
      <c r="V28" s="713">
        <f t="shared" si="4"/>
        <v>46270</v>
      </c>
    </row>
    <row r="29" spans="1:26" s="750" customFormat="1" ht="13" x14ac:dyDescent="0.3">
      <c r="A29" s="698"/>
      <c r="B29" s="757"/>
      <c r="C29" s="698"/>
      <c r="D29" s="706"/>
      <c r="E29" s="698"/>
      <c r="F29" s="698"/>
      <c r="G29" s="698"/>
      <c r="H29" s="698"/>
      <c r="I29" s="698"/>
      <c r="J29" s="698"/>
      <c r="K29" s="1502">
        <f t="shared" si="2"/>
        <v>0</v>
      </c>
      <c r="L29" s="1502"/>
      <c r="M29" s="712">
        <f t="shared" si="3"/>
        <v>0</v>
      </c>
      <c r="N29" s="1503">
        <f>IF(E28&gt;13,F28,0)</f>
        <v>0</v>
      </c>
      <c r="O29" s="1503"/>
      <c r="P29" s="1497"/>
      <c r="Q29" s="1498"/>
      <c r="R29" s="1499"/>
      <c r="T29" s="717" t="s">
        <v>37</v>
      </c>
      <c r="U29" s="717"/>
      <c r="V29" s="713">
        <f t="shared" si="4"/>
        <v>46300</v>
      </c>
    </row>
    <row r="30" spans="1:26" s="710" customFormat="1" ht="13" x14ac:dyDescent="0.3">
      <c r="A30" s="698"/>
      <c r="B30" s="758"/>
      <c r="D30" s="711"/>
      <c r="H30" s="698"/>
      <c r="I30" s="698"/>
      <c r="J30" s="698"/>
      <c r="K30" s="1502">
        <f t="shared" si="2"/>
        <v>0</v>
      </c>
      <c r="L30" s="1502"/>
      <c r="M30" s="712">
        <f t="shared" si="3"/>
        <v>0</v>
      </c>
      <c r="N30" s="1503">
        <f>IF(E28&gt;14,F28,0)</f>
        <v>0</v>
      </c>
      <c r="O30" s="1503"/>
      <c r="P30" s="1497"/>
      <c r="Q30" s="1498"/>
      <c r="R30" s="1499"/>
      <c r="T30" s="717" t="s">
        <v>38</v>
      </c>
      <c r="U30" s="717"/>
      <c r="V30" s="713">
        <f t="shared" si="4"/>
        <v>46331</v>
      </c>
    </row>
    <row r="31" spans="1:26" s="710" customFormat="1" ht="13" x14ac:dyDescent="0.3">
      <c r="A31" s="698"/>
      <c r="D31" s="711"/>
      <c r="J31" s="704"/>
      <c r="K31" s="1502">
        <f t="shared" si="2"/>
        <v>0</v>
      </c>
      <c r="L31" s="1502"/>
      <c r="M31" s="712">
        <f t="shared" si="3"/>
        <v>0</v>
      </c>
      <c r="N31" s="1503">
        <f>IF(E28&gt;15,F28,0)</f>
        <v>0</v>
      </c>
      <c r="O31" s="1503"/>
      <c r="P31" s="1497"/>
      <c r="Q31" s="1498"/>
      <c r="R31" s="1499"/>
      <c r="T31" s="717" t="s">
        <v>39</v>
      </c>
      <c r="U31" s="717"/>
      <c r="V31" s="713">
        <f t="shared" si="4"/>
        <v>46361</v>
      </c>
    </row>
    <row r="32" spans="1:26" s="750" customFormat="1" ht="13" x14ac:dyDescent="0.3">
      <c r="A32" s="698"/>
      <c r="B32" s="130" t="s">
        <v>202</v>
      </c>
      <c r="C32" s="242"/>
      <c r="D32" s="704"/>
      <c r="E32" s="704"/>
      <c r="F32" s="704"/>
      <c r="G32" s="704"/>
      <c r="H32" s="704"/>
      <c r="I32" s="704"/>
      <c r="J32" s="698"/>
      <c r="K32" s="1502">
        <f t="shared" si="2"/>
        <v>0</v>
      </c>
      <c r="L32" s="1502"/>
      <c r="M32" s="712">
        <f t="shared" si="3"/>
        <v>0</v>
      </c>
      <c r="N32" s="1503">
        <f>IF(E28&gt;16,F28,0)</f>
        <v>0</v>
      </c>
      <c r="O32" s="1503"/>
      <c r="P32" s="1497"/>
      <c r="Q32" s="1498"/>
      <c r="R32" s="1499"/>
      <c r="T32" s="717" t="s">
        <v>41</v>
      </c>
      <c r="U32" s="717"/>
      <c r="V32" s="713">
        <f t="shared" si="4"/>
        <v>46392</v>
      </c>
    </row>
    <row r="33" spans="1:22" s="710" customFormat="1" ht="13" x14ac:dyDescent="0.3">
      <c r="A33" s="698"/>
      <c r="B33" s="704"/>
      <c r="C33" s="704"/>
      <c r="D33" s="704"/>
      <c r="E33" s="704"/>
      <c r="F33" s="704"/>
      <c r="G33" s="704"/>
      <c r="H33" s="704"/>
      <c r="I33" s="704"/>
      <c r="J33" s="698"/>
      <c r="K33" s="1502">
        <f t="shared" si="2"/>
        <v>0</v>
      </c>
      <c r="L33" s="1502"/>
      <c r="M33" s="712">
        <f t="shared" si="3"/>
        <v>0</v>
      </c>
      <c r="N33" s="1506">
        <f>IF(E28&gt;17,F28,0)</f>
        <v>0</v>
      </c>
      <c r="O33" s="1507"/>
      <c r="P33" s="1497"/>
      <c r="Q33" s="1498"/>
      <c r="R33" s="1499"/>
      <c r="T33" s="717" t="s">
        <v>42</v>
      </c>
      <c r="U33" s="717"/>
      <c r="V33" s="713">
        <f t="shared" si="4"/>
        <v>46423</v>
      </c>
    </row>
    <row r="34" spans="1:22" s="710" customFormat="1" ht="13" x14ac:dyDescent="0.3">
      <c r="A34" s="698"/>
      <c r="B34" s="1221" t="s">
        <v>110</v>
      </c>
      <c r="C34" s="1221"/>
      <c r="D34" s="1221" t="s">
        <v>200</v>
      </c>
      <c r="E34" s="1221"/>
      <c r="F34" s="1221"/>
      <c r="G34" s="1221"/>
      <c r="H34" s="1221" t="s">
        <v>207</v>
      </c>
      <c r="I34" s="1221"/>
      <c r="J34" s="698"/>
      <c r="K34" s="1502">
        <f t="shared" si="2"/>
        <v>0</v>
      </c>
      <c r="L34" s="1502"/>
      <c r="M34" s="712">
        <f t="shared" si="3"/>
        <v>0</v>
      </c>
      <c r="N34" s="1503">
        <f>IF(E28&gt;18,F28,0)</f>
        <v>0</v>
      </c>
      <c r="O34" s="1503"/>
      <c r="P34" s="1497"/>
      <c r="Q34" s="1498"/>
      <c r="R34" s="1499"/>
      <c r="T34" s="717" t="s">
        <v>43</v>
      </c>
      <c r="U34" s="717"/>
      <c r="V34" s="713">
        <f t="shared" si="4"/>
        <v>46451</v>
      </c>
    </row>
    <row r="35" spans="1:22" s="710" customFormat="1" ht="13" x14ac:dyDescent="0.3">
      <c r="A35" s="698"/>
      <c r="B35" s="1510">
        <f>'SPOT CASH_60 DAYS (2)'!B32</f>
        <v>0</v>
      </c>
      <c r="C35" s="1511"/>
      <c r="D35" s="1510">
        <f>'SPOT CASH_60 DAYS (2)'!D32:D32</f>
        <v>0</v>
      </c>
      <c r="E35" s="1514"/>
      <c r="F35" s="1514"/>
      <c r="G35" s="1511"/>
      <c r="H35" s="1516">
        <f>'SPOT CASH_60 DAYS (2)'!G32</f>
        <v>0</v>
      </c>
      <c r="I35" s="1517"/>
      <c r="J35" s="698"/>
      <c r="K35" s="1502">
        <f t="shared" si="2"/>
        <v>0</v>
      </c>
      <c r="L35" s="1502"/>
      <c r="M35" s="712">
        <f t="shared" si="3"/>
        <v>0</v>
      </c>
      <c r="N35" s="1503">
        <f>IF(E28&gt;19,F28,0)</f>
        <v>0</v>
      </c>
      <c r="O35" s="1503"/>
      <c r="P35" s="1497"/>
      <c r="Q35" s="1498"/>
      <c r="R35" s="1499"/>
      <c r="T35" s="717" t="s">
        <v>45</v>
      </c>
      <c r="U35" s="717"/>
      <c r="V35" s="713">
        <f t="shared" si="4"/>
        <v>46482</v>
      </c>
    </row>
    <row r="36" spans="1:22" s="710" customFormat="1" ht="15" customHeight="1" x14ac:dyDescent="0.3">
      <c r="A36" s="698"/>
      <c r="B36" s="1512"/>
      <c r="C36" s="1513"/>
      <c r="D36" s="1512"/>
      <c r="E36" s="1515"/>
      <c r="F36" s="1515"/>
      <c r="G36" s="1513"/>
      <c r="H36" s="1518"/>
      <c r="I36" s="1519"/>
      <c r="J36" s="698"/>
      <c r="K36" s="1502">
        <f t="shared" si="2"/>
        <v>0</v>
      </c>
      <c r="L36" s="1502"/>
      <c r="M36" s="712">
        <f t="shared" si="3"/>
        <v>0</v>
      </c>
      <c r="N36" s="1503">
        <f>IF(E28&gt;20,F28,0)</f>
        <v>0</v>
      </c>
      <c r="O36" s="1503"/>
      <c r="P36" s="1497"/>
      <c r="Q36" s="1498"/>
      <c r="R36" s="1499"/>
      <c r="T36" s="717" t="s">
        <v>46</v>
      </c>
      <c r="U36" s="717"/>
      <c r="V36" s="713">
        <f t="shared" si="4"/>
        <v>46512</v>
      </c>
    </row>
    <row r="37" spans="1:22" s="710" customFormat="1" ht="13" x14ac:dyDescent="0.3">
      <c r="A37" s="698"/>
      <c r="B37" s="1510">
        <f>'SPOT CASH_60 DAYS (2)'!B34</f>
        <v>0</v>
      </c>
      <c r="C37" s="1511"/>
      <c r="D37" s="1510">
        <f>'SPOT CASH_60 DAYS (2)'!D34:D34</f>
        <v>0</v>
      </c>
      <c r="E37" s="1514"/>
      <c r="F37" s="1514"/>
      <c r="G37" s="1511"/>
      <c r="H37" s="1516">
        <f>'SPOT CASH_60 DAYS (2)'!G34</f>
        <v>0</v>
      </c>
      <c r="I37" s="1517"/>
      <c r="J37" s="698"/>
      <c r="K37" s="1502">
        <f t="shared" si="2"/>
        <v>0</v>
      </c>
      <c r="L37" s="1502"/>
      <c r="M37" s="712">
        <f t="shared" si="3"/>
        <v>0</v>
      </c>
      <c r="N37" s="1503">
        <f>IF(E28&gt;21,F28,0)</f>
        <v>0</v>
      </c>
      <c r="O37" s="1503"/>
      <c r="P37" s="1497"/>
      <c r="Q37" s="1498"/>
      <c r="R37" s="1499"/>
      <c r="T37" s="717" t="s">
        <v>47</v>
      </c>
      <c r="U37" s="717"/>
      <c r="V37" s="713">
        <f t="shared" si="4"/>
        <v>46543</v>
      </c>
    </row>
    <row r="38" spans="1:22" s="710" customFormat="1" ht="15" customHeight="1" x14ac:dyDescent="0.3">
      <c r="A38" s="698"/>
      <c r="B38" s="1512"/>
      <c r="C38" s="1513"/>
      <c r="D38" s="1512"/>
      <c r="E38" s="1515"/>
      <c r="F38" s="1515"/>
      <c r="G38" s="1513"/>
      <c r="H38" s="1518"/>
      <c r="I38" s="1519"/>
      <c r="J38" s="698"/>
      <c r="K38" s="1502">
        <f t="shared" ref="K38:K43" si="5">IF(N38&gt;1,T39,0)</f>
        <v>0</v>
      </c>
      <c r="L38" s="1502"/>
      <c r="M38" s="712">
        <f t="shared" si="3"/>
        <v>0</v>
      </c>
      <c r="N38" s="1503">
        <f>IF($E$28&gt;22,$F$28,0)</f>
        <v>0</v>
      </c>
      <c r="O38" s="1503"/>
      <c r="P38" s="1497"/>
      <c r="Q38" s="1498"/>
      <c r="R38" s="1499"/>
      <c r="T38" s="717" t="s">
        <v>49</v>
      </c>
      <c r="U38" s="717"/>
      <c r="V38" s="713">
        <f t="shared" si="4"/>
        <v>46573</v>
      </c>
    </row>
    <row r="39" spans="1:22" s="710" customFormat="1" ht="14.25" customHeight="1" x14ac:dyDescent="0.3">
      <c r="A39" s="698"/>
      <c r="B39" s="1510">
        <f>'SPOT CASH_60 DAYS (2)'!B36</f>
        <v>0</v>
      </c>
      <c r="C39" s="1511"/>
      <c r="D39" s="1510">
        <f>'SPOT CASH_60 DAYS (2)'!D36:D36</f>
        <v>0</v>
      </c>
      <c r="E39" s="1514"/>
      <c r="F39" s="1514"/>
      <c r="G39" s="1511"/>
      <c r="H39" s="1516">
        <f>'SPOT CASH_60 DAYS (2)'!G36</f>
        <v>0</v>
      </c>
      <c r="I39" s="1517"/>
      <c r="J39" s="698"/>
      <c r="K39" s="1502">
        <f t="shared" si="5"/>
        <v>0</v>
      </c>
      <c r="L39" s="1502"/>
      <c r="M39" s="712">
        <f t="shared" si="3"/>
        <v>0</v>
      </c>
      <c r="N39" s="1503">
        <f>IF(E28&gt;23,F28,0)</f>
        <v>0</v>
      </c>
      <c r="O39" s="1503"/>
      <c r="P39" s="1497"/>
      <c r="Q39" s="1498"/>
      <c r="R39" s="1499"/>
      <c r="T39" s="717" t="s">
        <v>50</v>
      </c>
      <c r="U39" s="717"/>
      <c r="V39" s="713">
        <f t="shared" si="4"/>
        <v>46604</v>
      </c>
    </row>
    <row r="40" spans="1:22" s="710" customFormat="1" ht="15" customHeight="1" x14ac:dyDescent="0.3">
      <c r="A40" s="698"/>
      <c r="B40" s="1512"/>
      <c r="C40" s="1513"/>
      <c r="D40" s="1512"/>
      <c r="E40" s="1515"/>
      <c r="F40" s="1515"/>
      <c r="G40" s="1513"/>
      <c r="H40" s="1518"/>
      <c r="I40" s="1519"/>
      <c r="J40" s="698"/>
      <c r="K40" s="1502">
        <f t="shared" si="5"/>
        <v>0</v>
      </c>
      <c r="L40" s="1502"/>
      <c r="M40" s="712">
        <f t="shared" si="3"/>
        <v>0</v>
      </c>
      <c r="N40" s="1525">
        <f>IF(E28&gt;24,F28,0)</f>
        <v>0</v>
      </c>
      <c r="O40" s="1525"/>
      <c r="P40" s="1497"/>
      <c r="Q40" s="1498"/>
      <c r="R40" s="1499"/>
      <c r="T40" s="717" t="s">
        <v>56</v>
      </c>
      <c r="U40" s="717"/>
      <c r="V40" s="713">
        <f t="shared" si="4"/>
        <v>46635</v>
      </c>
    </row>
    <row r="41" spans="1:22" s="710" customFormat="1" ht="14.25" customHeight="1" x14ac:dyDescent="0.3">
      <c r="A41" s="698"/>
      <c r="B41" s="1510">
        <f>'SPOT CASH_60 DAYS (2)'!B38</f>
        <v>0</v>
      </c>
      <c r="C41" s="1511"/>
      <c r="D41" s="1510">
        <f>'SPOT CASH_60 DAYS (2)'!D38:D38</f>
        <v>0</v>
      </c>
      <c r="E41" s="1514"/>
      <c r="F41" s="1514"/>
      <c r="G41" s="1511"/>
      <c r="H41" s="1516">
        <f>'SPOT CASH_60 DAYS (2)'!G38</f>
        <v>0</v>
      </c>
      <c r="I41" s="1517"/>
      <c r="J41" s="698"/>
      <c r="K41" s="1502">
        <f t="shared" si="5"/>
        <v>0</v>
      </c>
      <c r="L41" s="1502"/>
      <c r="M41" s="712">
        <f t="shared" si="3"/>
        <v>0</v>
      </c>
      <c r="N41" s="1503">
        <f>IF(E28&gt;25,F28,0)</f>
        <v>0</v>
      </c>
      <c r="O41" s="1503"/>
      <c r="P41" s="1497"/>
      <c r="Q41" s="1498"/>
      <c r="R41" s="1499"/>
      <c r="T41" s="717" t="s">
        <v>57</v>
      </c>
      <c r="U41" s="717"/>
      <c r="V41" s="713">
        <f t="shared" si="4"/>
        <v>46665</v>
      </c>
    </row>
    <row r="42" spans="1:22" s="710" customFormat="1" ht="15" customHeight="1" x14ac:dyDescent="0.3">
      <c r="A42" s="698"/>
      <c r="B42" s="1512"/>
      <c r="C42" s="1513"/>
      <c r="D42" s="1512"/>
      <c r="E42" s="1515"/>
      <c r="F42" s="1515"/>
      <c r="G42" s="1513"/>
      <c r="H42" s="1518"/>
      <c r="I42" s="1519"/>
      <c r="J42" s="698"/>
      <c r="K42" s="1502">
        <f t="shared" si="5"/>
        <v>0</v>
      </c>
      <c r="L42" s="1502"/>
      <c r="M42" s="712">
        <f t="shared" si="3"/>
        <v>0</v>
      </c>
      <c r="N42" s="1503">
        <f>IF(E28&gt;26,F28,0)</f>
        <v>0</v>
      </c>
      <c r="O42" s="1503"/>
      <c r="P42" s="1497"/>
      <c r="Q42" s="1498"/>
      <c r="R42" s="1499"/>
      <c r="T42" s="717" t="s">
        <v>58</v>
      </c>
      <c r="U42" s="717"/>
      <c r="V42" s="713">
        <f t="shared" si="4"/>
        <v>46696</v>
      </c>
    </row>
    <row r="43" spans="1:22" s="710" customFormat="1" ht="14.25" customHeight="1" x14ac:dyDescent="0.3">
      <c r="A43" s="698"/>
      <c r="B43" s="1510">
        <f>'SPOT CASH_60 DAYS (2)'!B40</f>
        <v>0</v>
      </c>
      <c r="C43" s="1511"/>
      <c r="D43" s="1510">
        <f>'SPOT CASH_60 DAYS (2)'!D40:D40</f>
        <v>0</v>
      </c>
      <c r="E43" s="1514"/>
      <c r="F43" s="1514"/>
      <c r="G43" s="1511"/>
      <c r="H43" s="1516">
        <f>'SPOT CASH_60 DAYS (2)'!G40</f>
        <v>0</v>
      </c>
      <c r="I43" s="1517"/>
      <c r="J43" s="698"/>
      <c r="K43" s="1502">
        <f t="shared" si="5"/>
        <v>0</v>
      </c>
      <c r="L43" s="1502"/>
      <c r="M43" s="712">
        <f t="shared" si="3"/>
        <v>0</v>
      </c>
      <c r="N43" s="1503">
        <f>IF(E28&gt;27,F28,0)</f>
        <v>0</v>
      </c>
      <c r="O43" s="1503"/>
      <c r="P43" s="1497"/>
      <c r="Q43" s="1498"/>
      <c r="R43" s="1499"/>
      <c r="T43" s="717" t="s">
        <v>59</v>
      </c>
      <c r="U43" s="717"/>
      <c r="V43" s="713">
        <f t="shared" si="4"/>
        <v>46726</v>
      </c>
    </row>
    <row r="44" spans="1:22" s="710" customFormat="1" ht="15" customHeight="1" x14ac:dyDescent="0.3">
      <c r="A44" s="698"/>
      <c r="B44" s="1512"/>
      <c r="C44" s="1513"/>
      <c r="D44" s="1512"/>
      <c r="E44" s="1515"/>
      <c r="F44" s="1515"/>
      <c r="G44" s="1513"/>
      <c r="H44" s="1518"/>
      <c r="I44" s="1519"/>
      <c r="J44" s="698"/>
      <c r="K44" s="1502">
        <f t="shared" ref="K44:K51" si="6">IF(N44&gt;1,T45,0)</f>
        <v>0</v>
      </c>
      <c r="L44" s="1502"/>
      <c r="M44" s="712">
        <f t="shared" si="3"/>
        <v>0</v>
      </c>
      <c r="N44" s="1503">
        <f>IF(E28&gt;28,F28,0)</f>
        <v>0</v>
      </c>
      <c r="O44" s="1503"/>
      <c r="P44" s="1497"/>
      <c r="Q44" s="1498"/>
      <c r="R44" s="1499"/>
      <c r="T44" s="717" t="s">
        <v>60</v>
      </c>
      <c r="U44" s="717"/>
      <c r="V44" s="713">
        <f t="shared" si="4"/>
        <v>46757</v>
      </c>
    </row>
    <row r="45" spans="1:22" s="710" customFormat="1" ht="14.25" customHeight="1" x14ac:dyDescent="0.3">
      <c r="A45" s="698"/>
      <c r="B45" s="1510">
        <f>'SPOT CASH_60 DAYS (2)'!B42</f>
        <v>0</v>
      </c>
      <c r="C45" s="1511"/>
      <c r="D45" s="1510">
        <f>'SPOT CASH_60 DAYS (2)'!D42:D42</f>
        <v>0</v>
      </c>
      <c r="E45" s="1514"/>
      <c r="F45" s="1514"/>
      <c r="G45" s="1511"/>
      <c r="H45" s="1516">
        <f>'SPOT CASH_60 DAYS (2)'!G42</f>
        <v>0</v>
      </c>
      <c r="I45" s="1517"/>
      <c r="J45" s="698"/>
      <c r="K45" s="1502">
        <f t="shared" si="6"/>
        <v>0</v>
      </c>
      <c r="L45" s="1502"/>
      <c r="M45" s="712">
        <f t="shared" si="3"/>
        <v>0</v>
      </c>
      <c r="N45" s="1503">
        <f>IF(E28&gt;29,F28,0)</f>
        <v>0</v>
      </c>
      <c r="O45" s="1503"/>
      <c r="P45" s="1497"/>
      <c r="Q45" s="1498"/>
      <c r="R45" s="1499"/>
      <c r="T45" s="717" t="s">
        <v>61</v>
      </c>
      <c r="U45" s="717"/>
      <c r="V45" s="713">
        <f t="shared" si="4"/>
        <v>46788</v>
      </c>
    </row>
    <row r="46" spans="1:22" s="710" customFormat="1" ht="13" x14ac:dyDescent="0.3">
      <c r="A46" s="698"/>
      <c r="B46" s="1512"/>
      <c r="C46" s="1513"/>
      <c r="D46" s="1512"/>
      <c r="E46" s="1515"/>
      <c r="F46" s="1515"/>
      <c r="G46" s="1513"/>
      <c r="H46" s="1518"/>
      <c r="I46" s="1519"/>
      <c r="J46" s="698"/>
      <c r="K46" s="1502">
        <f t="shared" si="6"/>
        <v>0</v>
      </c>
      <c r="L46" s="1502"/>
      <c r="M46" s="712">
        <f t="shared" si="3"/>
        <v>0</v>
      </c>
      <c r="N46" s="1503">
        <f>IF(E28&gt;30,F28,0)</f>
        <v>0</v>
      </c>
      <c r="O46" s="1503"/>
      <c r="P46" s="1497"/>
      <c r="Q46" s="1498"/>
      <c r="R46" s="1499"/>
      <c r="T46" s="717" t="s">
        <v>62</v>
      </c>
      <c r="U46" s="717"/>
      <c r="V46" s="713">
        <f t="shared" si="4"/>
        <v>46817</v>
      </c>
    </row>
    <row r="47" spans="1:22" s="710" customFormat="1" ht="16.5" customHeight="1" x14ac:dyDescent="0.3">
      <c r="A47" s="698"/>
      <c r="D47" s="711"/>
      <c r="J47" s="698"/>
      <c r="K47" s="1502">
        <f t="shared" si="6"/>
        <v>0</v>
      </c>
      <c r="L47" s="1502"/>
      <c r="M47" s="712">
        <f t="shared" si="3"/>
        <v>0</v>
      </c>
      <c r="N47" s="1503">
        <f>IF(E28&gt;31,F28,0)</f>
        <v>0</v>
      </c>
      <c r="O47" s="1503"/>
      <c r="P47" s="1497"/>
      <c r="Q47" s="1498"/>
      <c r="R47" s="1499"/>
      <c r="T47" s="695" t="s">
        <v>64</v>
      </c>
      <c r="U47" s="695"/>
      <c r="V47" s="713">
        <f t="shared" si="4"/>
        <v>46848</v>
      </c>
    </row>
    <row r="48" spans="1:22" s="710" customFormat="1" ht="13" x14ac:dyDescent="0.3">
      <c r="F48" s="704"/>
      <c r="G48" s="698"/>
      <c r="H48" s="704"/>
      <c r="I48" s="704"/>
      <c r="J48" s="698"/>
      <c r="K48" s="1502">
        <f t="shared" si="6"/>
        <v>0</v>
      </c>
      <c r="L48" s="1502"/>
      <c r="M48" s="712">
        <f t="shared" si="3"/>
        <v>0</v>
      </c>
      <c r="N48" s="1503">
        <f>IF(E28&gt;32,F28,0)</f>
        <v>0</v>
      </c>
      <c r="O48" s="1503"/>
      <c r="P48" s="1497"/>
      <c r="Q48" s="1498"/>
      <c r="R48" s="1499"/>
      <c r="T48" s="695" t="s">
        <v>66</v>
      </c>
      <c r="U48" s="695"/>
      <c r="V48" s="713">
        <f t="shared" si="4"/>
        <v>46878</v>
      </c>
    </row>
    <row r="49" spans="1:22" s="710" customFormat="1" ht="13" x14ac:dyDescent="0.3">
      <c r="A49" s="714">
        <f>F16*12%</f>
        <v>99934.507471500008</v>
      </c>
      <c r="B49" s="715"/>
      <c r="C49" s="715"/>
      <c r="D49" s="716"/>
      <c r="E49" s="715"/>
      <c r="F49" s="715"/>
      <c r="G49" s="715"/>
      <c r="H49" s="715"/>
      <c r="I49" s="715"/>
      <c r="J49" s="698"/>
      <c r="K49" s="1502">
        <f t="shared" si="6"/>
        <v>0</v>
      </c>
      <c r="L49" s="1502"/>
      <c r="M49" s="712">
        <f t="shared" si="3"/>
        <v>0</v>
      </c>
      <c r="N49" s="1503">
        <f>IF(E28&gt;33,F28,0)</f>
        <v>0</v>
      </c>
      <c r="O49" s="1503"/>
      <c r="P49" s="1497"/>
      <c r="Q49" s="1498"/>
      <c r="R49" s="1499"/>
      <c r="T49" s="717" t="s">
        <v>67</v>
      </c>
      <c r="U49" s="717"/>
      <c r="V49" s="713">
        <f t="shared" si="4"/>
        <v>46909</v>
      </c>
    </row>
    <row r="50" spans="1:22" s="710" customFormat="1" ht="13" x14ac:dyDescent="0.3">
      <c r="B50" s="715"/>
      <c r="C50" s="715"/>
      <c r="D50" s="716"/>
      <c r="E50" s="715"/>
      <c r="F50" s="715"/>
      <c r="G50" s="715"/>
      <c r="H50" s="715"/>
      <c r="I50" s="715"/>
      <c r="J50" s="698"/>
      <c r="K50" s="1502">
        <f t="shared" si="6"/>
        <v>0</v>
      </c>
      <c r="L50" s="1502"/>
      <c r="M50" s="712">
        <f t="shared" si="3"/>
        <v>0</v>
      </c>
      <c r="N50" s="1503">
        <f>IF(E28&gt;34,F28,0)</f>
        <v>0</v>
      </c>
      <c r="O50" s="1503"/>
      <c r="P50" s="1497"/>
      <c r="Q50" s="1498"/>
      <c r="R50" s="1499"/>
      <c r="T50" s="717" t="s">
        <v>69</v>
      </c>
      <c r="U50" s="717"/>
      <c r="V50" s="713">
        <f t="shared" si="4"/>
        <v>46939</v>
      </c>
    </row>
    <row r="51" spans="1:22" s="710" customFormat="1" ht="13" x14ac:dyDescent="0.3">
      <c r="C51" s="718" t="s">
        <v>222</v>
      </c>
      <c r="D51" s="1520"/>
      <c r="E51" s="1520"/>
      <c r="F51" s="1520"/>
      <c r="G51" s="1520"/>
      <c r="H51" s="715"/>
      <c r="I51" s="715"/>
      <c r="J51" s="700"/>
      <c r="K51" s="1504">
        <f t="shared" si="6"/>
        <v>0</v>
      </c>
      <c r="L51" s="1505"/>
      <c r="M51" s="712">
        <f t="shared" si="3"/>
        <v>0</v>
      </c>
      <c r="N51" s="1506">
        <f>IF(E28&gt;35,F28,0)</f>
        <v>0</v>
      </c>
      <c r="O51" s="1507"/>
      <c r="P51" s="1497"/>
      <c r="Q51" s="1498"/>
      <c r="R51" s="1499"/>
      <c r="T51" s="717" t="s">
        <v>107</v>
      </c>
      <c r="U51" s="717"/>
      <c r="V51" s="713">
        <f t="shared" si="4"/>
        <v>46970</v>
      </c>
    </row>
    <row r="52" spans="1:22" s="710" customFormat="1" ht="13" x14ac:dyDescent="0.3">
      <c r="B52" s="715"/>
      <c r="C52" s="715"/>
      <c r="D52" s="716"/>
      <c r="E52" s="715"/>
      <c r="F52" s="715"/>
      <c r="G52" s="715"/>
      <c r="H52" s="715"/>
      <c r="I52" s="715"/>
      <c r="J52" s="701"/>
      <c r="K52" s="1504">
        <f t="shared" ref="K52:K56" si="7">IF(N52&gt;1,T53,0)</f>
        <v>0</v>
      </c>
      <c r="L52" s="1505"/>
      <c r="M52" s="712">
        <f t="shared" ref="M52:M67" si="8">IF(N52&gt;1,V53,0)</f>
        <v>0</v>
      </c>
      <c r="N52" s="1506">
        <f>IF(E28&gt;36,F28,0)</f>
        <v>0</v>
      </c>
      <c r="O52" s="1507"/>
      <c r="P52" s="1497"/>
      <c r="Q52" s="1498"/>
      <c r="R52" s="1499"/>
      <c r="T52" s="717" t="s">
        <v>111</v>
      </c>
      <c r="U52" s="717"/>
      <c r="V52" s="713">
        <f t="shared" si="4"/>
        <v>47001</v>
      </c>
    </row>
    <row r="53" spans="1:22" s="710" customFormat="1" ht="13" x14ac:dyDescent="0.3">
      <c r="D53" s="711"/>
      <c r="J53" s="698"/>
      <c r="K53" s="1504">
        <f t="shared" si="7"/>
        <v>0</v>
      </c>
      <c r="L53" s="1505"/>
      <c r="M53" s="712">
        <f t="shared" si="8"/>
        <v>0</v>
      </c>
      <c r="N53" s="1506">
        <f>IF(E28&gt;37,F28,0)</f>
        <v>0</v>
      </c>
      <c r="O53" s="1507"/>
      <c r="P53" s="1497"/>
      <c r="Q53" s="1498"/>
      <c r="R53" s="1499"/>
      <c r="T53" s="717" t="s">
        <v>112</v>
      </c>
      <c r="U53" s="717"/>
      <c r="V53" s="713">
        <f t="shared" si="4"/>
        <v>47031</v>
      </c>
    </row>
    <row r="54" spans="1:22" s="710" customFormat="1" ht="13" x14ac:dyDescent="0.3">
      <c r="D54" s="711"/>
      <c r="I54" s="698"/>
      <c r="J54" s="715"/>
      <c r="K54" s="1504">
        <f t="shared" si="7"/>
        <v>0</v>
      </c>
      <c r="L54" s="1505"/>
      <c r="M54" s="712">
        <f t="shared" si="8"/>
        <v>0</v>
      </c>
      <c r="N54" s="1506">
        <f>IF(E28&gt;38,F28,0)</f>
        <v>0</v>
      </c>
      <c r="O54" s="1507"/>
      <c r="P54" s="1497"/>
      <c r="Q54" s="1498"/>
      <c r="R54" s="1499"/>
      <c r="T54" s="717" t="s">
        <v>113</v>
      </c>
      <c r="U54" s="717"/>
      <c r="V54" s="713">
        <f t="shared" si="4"/>
        <v>47062</v>
      </c>
    </row>
    <row r="55" spans="1:22" s="710" customFormat="1" ht="13" x14ac:dyDescent="0.3">
      <c r="D55" s="711"/>
      <c r="J55" s="715"/>
      <c r="K55" s="1504">
        <f t="shared" si="7"/>
        <v>0</v>
      </c>
      <c r="L55" s="1505"/>
      <c r="M55" s="712">
        <f t="shared" si="8"/>
        <v>0</v>
      </c>
      <c r="N55" s="1506">
        <f>IF(E28&gt;39,F28,0)</f>
        <v>0</v>
      </c>
      <c r="O55" s="1507"/>
      <c r="P55" s="1497"/>
      <c r="Q55" s="1498"/>
      <c r="R55" s="1499"/>
      <c r="T55" s="717" t="s">
        <v>114</v>
      </c>
      <c r="U55" s="717"/>
      <c r="V55" s="713">
        <f t="shared" si="4"/>
        <v>47092</v>
      </c>
    </row>
    <row r="56" spans="1:22" s="710" customFormat="1" ht="13" x14ac:dyDescent="0.3">
      <c r="D56" s="711"/>
      <c r="J56" s="715"/>
      <c r="K56" s="1504">
        <f t="shared" si="7"/>
        <v>0</v>
      </c>
      <c r="L56" s="1505"/>
      <c r="M56" s="712">
        <f t="shared" si="8"/>
        <v>0</v>
      </c>
      <c r="N56" s="1506">
        <f>IF($E$28&gt;40,$F$28,0)</f>
        <v>0</v>
      </c>
      <c r="O56" s="1507"/>
      <c r="P56" s="1497"/>
      <c r="Q56" s="1498"/>
      <c r="R56" s="1499"/>
      <c r="T56" s="717" t="s">
        <v>115</v>
      </c>
      <c r="U56" s="717"/>
      <c r="V56" s="713">
        <f t="shared" si="4"/>
        <v>47123</v>
      </c>
    </row>
    <row r="57" spans="1:22" s="710" customFormat="1" ht="13" x14ac:dyDescent="0.3">
      <c r="D57" s="711"/>
      <c r="K57" s="1504">
        <f t="shared" ref="K57:K66" si="9">IF(N57&gt;1,T58,0)</f>
        <v>0</v>
      </c>
      <c r="L57" s="1505"/>
      <c r="M57" s="712">
        <f t="shared" si="8"/>
        <v>0</v>
      </c>
      <c r="N57" s="1506">
        <f>IF($E$28&gt;41,$F$28,0)</f>
        <v>0</v>
      </c>
      <c r="O57" s="1507"/>
      <c r="P57" s="1497"/>
      <c r="Q57" s="1498"/>
      <c r="R57" s="1499"/>
      <c r="T57" s="717" t="s">
        <v>179</v>
      </c>
      <c r="U57" s="717"/>
      <c r="V57" s="713">
        <f t="shared" si="4"/>
        <v>47154</v>
      </c>
    </row>
    <row r="58" spans="1:22" s="710" customFormat="1" ht="15" customHeight="1" x14ac:dyDescent="0.3">
      <c r="B58" s="704" t="s">
        <v>70</v>
      </c>
      <c r="C58" s="704"/>
      <c r="D58" s="705"/>
      <c r="E58" s="704"/>
      <c r="G58" s="704" t="s">
        <v>71</v>
      </c>
      <c r="H58" s="704"/>
      <c r="I58" s="698"/>
      <c r="K58" s="1504">
        <f t="shared" si="9"/>
        <v>0</v>
      </c>
      <c r="L58" s="1505"/>
      <c r="M58" s="712">
        <f t="shared" si="8"/>
        <v>0</v>
      </c>
      <c r="N58" s="1506">
        <f>IF($E$28&gt;42,$F$28,0)</f>
        <v>0</v>
      </c>
      <c r="O58" s="1507"/>
      <c r="P58" s="1497"/>
      <c r="Q58" s="1498"/>
      <c r="R58" s="1499"/>
      <c r="T58" s="717" t="s">
        <v>180</v>
      </c>
      <c r="U58" s="717"/>
      <c r="V58" s="713">
        <f t="shared" si="4"/>
        <v>47182</v>
      </c>
    </row>
    <row r="59" spans="1:22" s="710" customFormat="1" ht="15" customHeight="1" x14ac:dyDescent="0.3">
      <c r="B59" s="698"/>
      <c r="C59" s="698"/>
      <c r="D59" s="706"/>
      <c r="E59" s="698"/>
      <c r="F59" s="698"/>
      <c r="H59" s="698"/>
      <c r="I59" s="698"/>
      <c r="K59" s="1504">
        <f t="shared" si="9"/>
        <v>0</v>
      </c>
      <c r="L59" s="1505"/>
      <c r="M59" s="712">
        <f t="shared" si="8"/>
        <v>0</v>
      </c>
      <c r="N59" s="1506">
        <f>IF($E$28&gt;43,$F$28,0)</f>
        <v>0</v>
      </c>
      <c r="O59" s="1507"/>
      <c r="P59" s="1497"/>
      <c r="Q59" s="1498"/>
      <c r="R59" s="1499"/>
      <c r="T59" s="717" t="s">
        <v>181</v>
      </c>
      <c r="U59" s="717"/>
      <c r="V59" s="713">
        <f t="shared" si="4"/>
        <v>47213</v>
      </c>
    </row>
    <row r="60" spans="1:22" s="710" customFormat="1" ht="15" customHeight="1" x14ac:dyDescent="0.3">
      <c r="B60" s="1521" t="str">
        <f>FORM!I28</f>
        <v>selller</v>
      </c>
      <c r="C60" s="1521"/>
      <c r="D60" s="1521"/>
      <c r="E60" s="704"/>
      <c r="F60" s="704"/>
      <c r="G60" s="1521" t="str">
        <f>FORM!I26</f>
        <v>buyer</v>
      </c>
      <c r="H60" s="1521"/>
      <c r="I60" s="1521"/>
      <c r="K60" s="1504">
        <f t="shared" si="9"/>
        <v>0</v>
      </c>
      <c r="L60" s="1505"/>
      <c r="M60" s="712">
        <f t="shared" si="8"/>
        <v>0</v>
      </c>
      <c r="N60" s="1506">
        <f>IF($E$28&gt;44,$F$28,0)</f>
        <v>0</v>
      </c>
      <c r="O60" s="1507"/>
      <c r="P60" s="1497"/>
      <c r="Q60" s="1498"/>
      <c r="R60" s="1499"/>
      <c r="T60" s="717" t="s">
        <v>182</v>
      </c>
      <c r="U60" s="717"/>
      <c r="V60" s="713">
        <f t="shared" si="4"/>
        <v>47243</v>
      </c>
    </row>
    <row r="61" spans="1:22" s="710" customFormat="1" ht="15" customHeight="1" x14ac:dyDescent="0.3">
      <c r="B61" s="1509" t="s">
        <v>74</v>
      </c>
      <c r="C61" s="1509"/>
      <c r="D61" s="1509"/>
      <c r="E61" s="698"/>
      <c r="F61" s="698"/>
      <c r="G61" s="1508" t="s">
        <v>74</v>
      </c>
      <c r="H61" s="1508"/>
      <c r="I61" s="1508"/>
      <c r="K61" s="1504">
        <f t="shared" si="9"/>
        <v>0</v>
      </c>
      <c r="L61" s="1505"/>
      <c r="M61" s="712">
        <f t="shared" si="8"/>
        <v>0</v>
      </c>
      <c r="N61" s="1506">
        <f>IF($E$28&gt;45,$F$28,0)</f>
        <v>0</v>
      </c>
      <c r="O61" s="1507"/>
      <c r="P61" s="1497"/>
      <c r="Q61" s="1498"/>
      <c r="R61" s="1499"/>
      <c r="T61" s="717" t="s">
        <v>183</v>
      </c>
      <c r="U61" s="717"/>
      <c r="V61" s="713">
        <f t="shared" si="4"/>
        <v>47274</v>
      </c>
    </row>
    <row r="62" spans="1:22" s="694" customFormat="1" ht="15" customHeight="1" x14ac:dyDescent="0.35">
      <c r="D62" s="702"/>
      <c r="K62" s="1504">
        <f t="shared" si="9"/>
        <v>0</v>
      </c>
      <c r="L62" s="1505"/>
      <c r="M62" s="712">
        <f t="shared" si="8"/>
        <v>0</v>
      </c>
      <c r="N62" s="1506">
        <f>IF($E$28&gt;46,$F$28,0)</f>
        <v>0</v>
      </c>
      <c r="O62" s="1507"/>
      <c r="P62" s="1497"/>
      <c r="Q62" s="1498"/>
      <c r="R62" s="1499"/>
      <c r="T62" s="717" t="s">
        <v>184</v>
      </c>
      <c r="U62" s="699"/>
      <c r="V62" s="696">
        <f t="shared" si="4"/>
        <v>47304</v>
      </c>
    </row>
    <row r="63" spans="1:22" s="694" customFormat="1" x14ac:dyDescent="0.35">
      <c r="D63" s="702"/>
      <c r="K63" s="1504">
        <f t="shared" si="9"/>
        <v>0</v>
      </c>
      <c r="L63" s="1505"/>
      <c r="M63" s="712">
        <f t="shared" si="8"/>
        <v>0</v>
      </c>
      <c r="N63" s="1506">
        <f>IF($E$28&gt;47,$F$28,0)</f>
        <v>0</v>
      </c>
      <c r="O63" s="1507"/>
      <c r="P63" s="1497"/>
      <c r="Q63" s="1498"/>
      <c r="R63" s="1499"/>
      <c r="T63" s="717" t="s">
        <v>428</v>
      </c>
      <c r="U63" s="699"/>
      <c r="V63" s="696">
        <f t="shared" si="4"/>
        <v>47335</v>
      </c>
    </row>
    <row r="64" spans="1:22" s="694" customFormat="1" x14ac:dyDescent="0.35">
      <c r="D64" s="702"/>
      <c r="K64" s="1504">
        <f t="shared" si="9"/>
        <v>0</v>
      </c>
      <c r="L64" s="1505"/>
      <c r="M64" s="712">
        <f t="shared" si="8"/>
        <v>0</v>
      </c>
      <c r="N64" s="1506">
        <f>IF($E$28&gt;48,$F$28,0)</f>
        <v>0</v>
      </c>
      <c r="O64" s="1507"/>
      <c r="P64" s="1497"/>
      <c r="Q64" s="1498"/>
      <c r="R64" s="1499"/>
      <c r="T64" s="717" t="s">
        <v>429</v>
      </c>
      <c r="U64" s="699"/>
      <c r="V64" s="696">
        <f t="shared" si="4"/>
        <v>47366</v>
      </c>
    </row>
    <row r="65" spans="4:22" s="694" customFormat="1" x14ac:dyDescent="0.35">
      <c r="D65" s="702"/>
      <c r="K65" s="1504">
        <f t="shared" si="9"/>
        <v>0</v>
      </c>
      <c r="L65" s="1505"/>
      <c r="M65" s="712">
        <f t="shared" si="8"/>
        <v>0</v>
      </c>
      <c r="N65" s="1506">
        <f>IF($E$28&gt;49,$F$28,0)</f>
        <v>0</v>
      </c>
      <c r="O65" s="1507"/>
      <c r="P65" s="1497"/>
      <c r="Q65" s="1498"/>
      <c r="R65" s="1499"/>
      <c r="T65" s="717" t="s">
        <v>430</v>
      </c>
      <c r="U65" s="699"/>
      <c r="V65" s="696">
        <f t="shared" si="4"/>
        <v>47396</v>
      </c>
    </row>
    <row r="66" spans="4:22" s="694" customFormat="1" x14ac:dyDescent="0.35">
      <c r="D66" s="702"/>
      <c r="K66" s="1504">
        <f t="shared" si="9"/>
        <v>0</v>
      </c>
      <c r="L66" s="1505"/>
      <c r="M66" s="712">
        <f t="shared" si="8"/>
        <v>0</v>
      </c>
      <c r="N66" s="1506">
        <f>IF($E$28&gt;50,$F$28,0)</f>
        <v>0</v>
      </c>
      <c r="O66" s="1507"/>
      <c r="P66" s="1497"/>
      <c r="Q66" s="1498"/>
      <c r="R66" s="1499"/>
      <c r="T66" s="717" t="s">
        <v>431</v>
      </c>
      <c r="U66" s="699"/>
      <c r="V66" s="696">
        <f t="shared" si="4"/>
        <v>47427</v>
      </c>
    </row>
    <row r="67" spans="4:22" s="694" customFormat="1" x14ac:dyDescent="0.35">
      <c r="D67" s="702"/>
      <c r="K67" s="1504">
        <f t="shared" ref="K67:K68" si="10">IF(N67&gt;1,T68,0)</f>
        <v>0</v>
      </c>
      <c r="L67" s="1505"/>
      <c r="M67" s="712">
        <f t="shared" si="8"/>
        <v>0</v>
      </c>
      <c r="N67" s="1506">
        <f>IF($E$28&gt;51,$F$28,0)</f>
        <v>0</v>
      </c>
      <c r="O67" s="1507"/>
      <c r="P67" s="1497"/>
      <c r="Q67" s="1498"/>
      <c r="R67" s="1499"/>
      <c r="T67" s="717" t="s">
        <v>432</v>
      </c>
      <c r="U67" s="699"/>
      <c r="V67" s="696">
        <f t="shared" si="4"/>
        <v>47457</v>
      </c>
    </row>
    <row r="68" spans="4:22" s="694" customFormat="1" x14ac:dyDescent="0.35">
      <c r="D68" s="702"/>
      <c r="K68" s="1504">
        <f t="shared" si="10"/>
        <v>0</v>
      </c>
      <c r="L68" s="1505"/>
      <c r="M68" s="712">
        <f t="shared" ref="M68" si="11">IF(N68&gt;1,V69,0)</f>
        <v>0</v>
      </c>
      <c r="N68" s="1506">
        <f>IF($E$28&gt;52,$F$28,0)</f>
        <v>0</v>
      </c>
      <c r="O68" s="1507"/>
      <c r="P68" s="1497"/>
      <c r="Q68" s="1498"/>
      <c r="R68" s="1499"/>
      <c r="T68" s="717" t="s">
        <v>433</v>
      </c>
      <c r="U68" s="699"/>
      <c r="V68" s="696">
        <f t="shared" si="4"/>
        <v>47488</v>
      </c>
    </row>
    <row r="69" spans="4:22" s="694" customFormat="1" x14ac:dyDescent="0.35">
      <c r="D69" s="702"/>
      <c r="K69" s="706"/>
      <c r="L69" s="706"/>
      <c r="M69" s="932"/>
      <c r="N69" s="933"/>
      <c r="O69" s="933"/>
      <c r="P69" s="934"/>
      <c r="Q69" s="934"/>
      <c r="R69" s="934"/>
      <c r="T69" s="717" t="s">
        <v>434</v>
      </c>
      <c r="U69" s="699"/>
      <c r="V69" s="696">
        <f t="shared" si="4"/>
        <v>47519</v>
      </c>
    </row>
    <row r="70" spans="4:22" s="694" customFormat="1" x14ac:dyDescent="0.35">
      <c r="D70" s="702"/>
      <c r="K70" s="706"/>
      <c r="L70" s="706"/>
      <c r="M70" s="932"/>
      <c r="N70" s="933"/>
      <c r="O70" s="933"/>
      <c r="P70" s="934"/>
      <c r="Q70" s="934"/>
      <c r="R70" s="934"/>
      <c r="T70" s="717"/>
      <c r="U70" s="699"/>
      <c r="V70" s="699"/>
    </row>
    <row r="71" spans="4:22" s="694" customFormat="1" x14ac:dyDescent="0.35">
      <c r="D71" s="702"/>
      <c r="K71" s="710"/>
      <c r="L71" s="710"/>
      <c r="M71" s="719"/>
      <c r="N71" s="710"/>
      <c r="O71" s="710"/>
      <c r="P71" s="710"/>
      <c r="Q71" s="698"/>
      <c r="R71" s="698"/>
      <c r="T71" s="699"/>
      <c r="U71" s="699"/>
      <c r="V71" s="699"/>
    </row>
    <row r="72" spans="4:22" s="694" customFormat="1" x14ac:dyDescent="0.35">
      <c r="D72" s="702"/>
      <c r="K72" s="704" t="s">
        <v>70</v>
      </c>
      <c r="L72" s="704"/>
      <c r="M72" s="705"/>
      <c r="N72" s="704"/>
      <c r="O72" s="710"/>
      <c r="P72" s="704" t="s">
        <v>71</v>
      </c>
      <c r="Q72" s="698"/>
      <c r="R72" s="698"/>
      <c r="T72" s="699"/>
      <c r="U72" s="699"/>
      <c r="V72" s="699"/>
    </row>
    <row r="73" spans="4:22" s="694" customFormat="1" x14ac:dyDescent="0.35">
      <c r="D73" s="702"/>
      <c r="K73" s="698"/>
      <c r="L73" s="698"/>
      <c r="M73" s="706"/>
      <c r="N73" s="698"/>
      <c r="O73" s="698"/>
      <c r="P73" s="698"/>
      <c r="Q73" s="698"/>
      <c r="R73" s="698"/>
      <c r="T73" s="699"/>
      <c r="U73" s="699"/>
      <c r="V73" s="699"/>
    </row>
    <row r="74" spans="4:22" s="694" customFormat="1" x14ac:dyDescent="0.35">
      <c r="D74" s="702"/>
      <c r="K74" s="1522" t="str">
        <f>FORM!I28</f>
        <v>selller</v>
      </c>
      <c r="L74" s="1522"/>
      <c r="M74" s="1522"/>
      <c r="N74" s="704"/>
      <c r="O74" s="704"/>
      <c r="P74" s="1522" t="str">
        <f>FORM!I26</f>
        <v>buyer</v>
      </c>
      <c r="Q74" s="1522"/>
      <c r="R74" s="1522"/>
      <c r="T74" s="699"/>
      <c r="U74" s="699"/>
      <c r="V74" s="699"/>
    </row>
    <row r="75" spans="4:22" s="694" customFormat="1" x14ac:dyDescent="0.35">
      <c r="D75" s="702"/>
      <c r="K75" s="707" t="s">
        <v>73</v>
      </c>
      <c r="L75" s="1523"/>
      <c r="M75" s="1524"/>
      <c r="N75" s="698"/>
      <c r="O75" s="698"/>
      <c r="P75" s="708" t="s">
        <v>74</v>
      </c>
      <c r="Q75" s="1523"/>
      <c r="R75" s="1524"/>
      <c r="T75" s="699"/>
      <c r="U75" s="699"/>
      <c r="V75" s="699"/>
    </row>
    <row r="76" spans="4:22" s="694" customFormat="1" x14ac:dyDescent="0.35">
      <c r="D76" s="702"/>
      <c r="L76" s="703"/>
      <c r="M76" s="703"/>
      <c r="T76" s="699"/>
      <c r="U76" s="699"/>
      <c r="V76" s="699"/>
    </row>
    <row r="77" spans="4:22" s="694" customFormat="1" x14ac:dyDescent="0.35">
      <c r="D77" s="702"/>
      <c r="L77" s="703"/>
      <c r="M77" s="703"/>
      <c r="T77" s="699"/>
      <c r="U77" s="699"/>
      <c r="V77" s="699"/>
    </row>
    <row r="78" spans="4:22" s="694" customFormat="1" x14ac:dyDescent="0.35">
      <c r="D78" s="702"/>
      <c r="L78" s="703"/>
      <c r="M78" s="703"/>
      <c r="T78" s="699"/>
      <c r="U78" s="699"/>
      <c r="V78" s="699"/>
    </row>
    <row r="79" spans="4:22" s="694" customFormat="1" x14ac:dyDescent="0.35">
      <c r="D79" s="702"/>
      <c r="M79" s="703"/>
      <c r="T79" s="699"/>
      <c r="U79" s="699"/>
      <c r="V79" s="699"/>
    </row>
    <row r="80" spans="4:22" s="694" customFormat="1" x14ac:dyDescent="0.35">
      <c r="D80" s="702"/>
      <c r="M80" s="703"/>
      <c r="T80" s="699"/>
      <c r="U80" s="699"/>
      <c r="V80" s="699"/>
    </row>
    <row r="81" spans="4:22" s="694" customFormat="1" x14ac:dyDescent="0.35">
      <c r="D81" s="702"/>
      <c r="M81" s="703"/>
      <c r="T81" s="699"/>
      <c r="U81" s="699"/>
      <c r="V81" s="699"/>
    </row>
    <row r="82" spans="4:22" s="694" customFormat="1" x14ac:dyDescent="0.35">
      <c r="D82" s="702"/>
      <c r="M82" s="703"/>
      <c r="T82" s="699"/>
      <c r="U82" s="699"/>
      <c r="V82" s="699"/>
    </row>
    <row r="83" spans="4:22" s="694" customFormat="1" x14ac:dyDescent="0.35">
      <c r="D83" s="702"/>
      <c r="M83" s="703"/>
      <c r="T83" s="699"/>
      <c r="U83" s="699"/>
      <c r="V83" s="699"/>
    </row>
    <row r="84" spans="4:22" s="694" customFormat="1" x14ac:dyDescent="0.35">
      <c r="D84" s="702"/>
      <c r="M84" s="703"/>
      <c r="T84" s="699"/>
      <c r="U84" s="699"/>
      <c r="V84" s="699"/>
    </row>
    <row r="85" spans="4:22" s="694" customFormat="1" x14ac:dyDescent="0.35">
      <c r="D85" s="702"/>
      <c r="M85" s="703"/>
      <c r="T85" s="699"/>
      <c r="U85" s="699"/>
      <c r="V85" s="699"/>
    </row>
    <row r="86" spans="4:22" s="694" customFormat="1" x14ac:dyDescent="0.35">
      <c r="D86" s="702"/>
      <c r="M86" s="703"/>
      <c r="T86" s="699"/>
      <c r="U86" s="699"/>
      <c r="V86" s="699"/>
    </row>
    <row r="87" spans="4:22" s="694" customFormat="1" x14ac:dyDescent="0.35">
      <c r="D87" s="702"/>
      <c r="M87" s="703"/>
      <c r="T87" s="699"/>
      <c r="U87" s="699"/>
      <c r="V87" s="699"/>
    </row>
    <row r="88" spans="4:22" s="694" customFormat="1" x14ac:dyDescent="0.35">
      <c r="D88" s="702"/>
      <c r="M88" s="703"/>
      <c r="T88" s="699"/>
      <c r="U88" s="699"/>
      <c r="V88" s="699"/>
    </row>
    <row r="89" spans="4:22" s="694" customFormat="1" x14ac:dyDescent="0.35">
      <c r="D89" s="702"/>
      <c r="M89" s="703"/>
      <c r="T89" s="699"/>
      <c r="U89" s="699"/>
      <c r="V89" s="699"/>
    </row>
    <row r="90" spans="4:22" s="694" customFormat="1" x14ac:dyDescent="0.35">
      <c r="D90" s="702"/>
      <c r="M90" s="703"/>
      <c r="T90" s="699"/>
      <c r="U90" s="699"/>
      <c r="V90" s="699"/>
    </row>
    <row r="91" spans="4:22" s="694" customFormat="1" x14ac:dyDescent="0.35">
      <c r="D91" s="702"/>
      <c r="M91" s="703"/>
      <c r="T91" s="699"/>
      <c r="U91" s="699"/>
      <c r="V91" s="699"/>
    </row>
    <row r="92" spans="4:22" s="694" customFormat="1" x14ac:dyDescent="0.35">
      <c r="D92" s="702"/>
      <c r="M92" s="703"/>
      <c r="T92" s="699"/>
      <c r="U92" s="699"/>
      <c r="V92" s="699"/>
    </row>
    <row r="93" spans="4:22" s="694" customFormat="1" x14ac:dyDescent="0.35">
      <c r="D93" s="702"/>
      <c r="M93" s="703"/>
      <c r="T93" s="699"/>
      <c r="U93" s="699"/>
      <c r="V93" s="699"/>
    </row>
    <row r="94" spans="4:22" s="694" customFormat="1" x14ac:dyDescent="0.35">
      <c r="D94" s="702"/>
      <c r="M94" s="703"/>
      <c r="T94" s="699"/>
      <c r="U94" s="699"/>
      <c r="V94" s="699"/>
    </row>
    <row r="95" spans="4:22" s="694" customFormat="1" x14ac:dyDescent="0.35">
      <c r="D95" s="702"/>
      <c r="M95" s="703"/>
      <c r="T95" s="699"/>
      <c r="U95" s="699"/>
      <c r="V95" s="699"/>
    </row>
    <row r="96" spans="4:22" s="694" customFormat="1" x14ac:dyDescent="0.35">
      <c r="D96" s="702"/>
      <c r="M96" s="703"/>
      <c r="T96" s="699"/>
      <c r="U96" s="699"/>
      <c r="V96" s="699"/>
    </row>
    <row r="97" spans="4:22" s="694" customFormat="1" x14ac:dyDescent="0.35">
      <c r="D97" s="702"/>
      <c r="M97" s="703"/>
      <c r="T97" s="699"/>
      <c r="U97" s="699"/>
      <c r="V97" s="699"/>
    </row>
    <row r="98" spans="4:22" s="694" customFormat="1" x14ac:dyDescent="0.35">
      <c r="D98" s="702"/>
      <c r="M98" s="703"/>
      <c r="T98" s="699"/>
      <c r="U98" s="699"/>
      <c r="V98" s="699"/>
    </row>
    <row r="99" spans="4:22" s="694" customFormat="1" x14ac:dyDescent="0.35">
      <c r="D99" s="702"/>
      <c r="M99" s="703"/>
      <c r="T99" s="699"/>
      <c r="U99" s="699"/>
      <c r="V99" s="699"/>
    </row>
    <row r="100" spans="4:22" s="694" customFormat="1" x14ac:dyDescent="0.35">
      <c r="D100" s="702"/>
      <c r="M100" s="703"/>
      <c r="T100" s="699"/>
      <c r="U100" s="699"/>
      <c r="V100" s="699"/>
    </row>
    <row r="101" spans="4:22" s="694" customFormat="1" x14ac:dyDescent="0.35">
      <c r="D101" s="702"/>
      <c r="M101" s="703"/>
      <c r="T101" s="699"/>
      <c r="U101" s="699"/>
      <c r="V101" s="699"/>
    </row>
    <row r="102" spans="4:22" s="694" customFormat="1" x14ac:dyDescent="0.35">
      <c r="D102" s="702"/>
      <c r="M102" s="703"/>
      <c r="T102" s="699"/>
      <c r="U102" s="699"/>
      <c r="V102" s="699"/>
    </row>
    <row r="103" spans="4:22" s="694" customFormat="1" x14ac:dyDescent="0.35">
      <c r="D103" s="702"/>
      <c r="M103" s="703"/>
      <c r="T103" s="699"/>
      <c r="U103" s="699"/>
      <c r="V103" s="699"/>
    </row>
    <row r="104" spans="4:22" s="694" customFormat="1" x14ac:dyDescent="0.35">
      <c r="D104" s="702"/>
      <c r="M104" s="703"/>
      <c r="T104" s="699"/>
      <c r="U104" s="699"/>
      <c r="V104" s="699"/>
    </row>
    <row r="105" spans="4:22" s="694" customFormat="1" x14ac:dyDescent="0.35">
      <c r="D105" s="702"/>
      <c r="M105" s="703"/>
      <c r="T105" s="699"/>
      <c r="U105" s="699"/>
      <c r="V105" s="699"/>
    </row>
    <row r="106" spans="4:22" s="694" customFormat="1" x14ac:dyDescent="0.35">
      <c r="D106" s="702"/>
      <c r="M106" s="703"/>
      <c r="T106" s="699"/>
      <c r="U106" s="699"/>
      <c r="V106" s="699"/>
    </row>
    <row r="107" spans="4:22" s="694" customFormat="1" x14ac:dyDescent="0.35">
      <c r="D107" s="702"/>
      <c r="M107" s="703"/>
      <c r="T107" s="699"/>
      <c r="U107" s="699"/>
      <c r="V107" s="699"/>
    </row>
    <row r="108" spans="4:22" s="694" customFormat="1" x14ac:dyDescent="0.35">
      <c r="D108" s="702"/>
      <c r="M108" s="703"/>
      <c r="T108" s="699"/>
      <c r="U108" s="699"/>
      <c r="V108" s="699"/>
    </row>
    <row r="109" spans="4:22" s="694" customFormat="1" x14ac:dyDescent="0.35">
      <c r="D109" s="702"/>
      <c r="M109" s="703"/>
      <c r="T109" s="699"/>
      <c r="U109" s="699"/>
      <c r="V109" s="699"/>
    </row>
    <row r="110" spans="4:22" s="694" customFormat="1" x14ac:dyDescent="0.35">
      <c r="D110" s="702"/>
      <c r="M110" s="703"/>
      <c r="T110" s="699"/>
      <c r="U110" s="699"/>
      <c r="V110" s="699"/>
    </row>
    <row r="111" spans="4:22" s="694" customFormat="1" x14ac:dyDescent="0.35">
      <c r="D111" s="702"/>
      <c r="M111" s="703"/>
      <c r="T111" s="699"/>
      <c r="U111" s="699"/>
      <c r="V111" s="699"/>
    </row>
    <row r="112" spans="4:22" s="694" customFormat="1" x14ac:dyDescent="0.35">
      <c r="D112" s="702"/>
      <c r="M112" s="703"/>
      <c r="T112" s="699"/>
      <c r="U112" s="699"/>
      <c r="V112" s="699"/>
    </row>
    <row r="113" spans="4:22" s="694" customFormat="1" x14ac:dyDescent="0.35">
      <c r="D113" s="702"/>
      <c r="M113" s="703"/>
      <c r="T113" s="699"/>
      <c r="U113" s="699"/>
      <c r="V113" s="699"/>
    </row>
    <row r="114" spans="4:22" s="694" customFormat="1" x14ac:dyDescent="0.35">
      <c r="D114" s="702"/>
      <c r="M114" s="703"/>
      <c r="T114" s="699"/>
      <c r="U114" s="699"/>
      <c r="V114" s="699"/>
    </row>
    <row r="115" spans="4:22" s="694" customFormat="1" x14ac:dyDescent="0.35">
      <c r="D115" s="702"/>
      <c r="M115" s="703"/>
      <c r="T115" s="699"/>
      <c r="U115" s="699"/>
      <c r="V115" s="699"/>
    </row>
    <row r="116" spans="4:22" s="694" customFormat="1" x14ac:dyDescent="0.35">
      <c r="D116" s="702"/>
      <c r="M116" s="703"/>
      <c r="T116" s="699"/>
      <c r="U116" s="699"/>
      <c r="V116" s="699"/>
    </row>
    <row r="117" spans="4:22" s="694" customFormat="1" x14ac:dyDescent="0.35">
      <c r="D117" s="702"/>
      <c r="M117" s="703"/>
      <c r="T117" s="699"/>
      <c r="U117" s="699"/>
      <c r="V117" s="699"/>
    </row>
    <row r="118" spans="4:22" s="694" customFormat="1" x14ac:dyDescent="0.35">
      <c r="D118" s="702"/>
      <c r="M118" s="703"/>
      <c r="T118" s="699"/>
      <c r="U118" s="699"/>
      <c r="V118" s="699"/>
    </row>
    <row r="119" spans="4:22" s="694" customFormat="1" x14ac:dyDescent="0.35">
      <c r="D119" s="702"/>
      <c r="M119" s="703"/>
      <c r="T119" s="699"/>
      <c r="U119" s="699"/>
      <c r="V119" s="699"/>
    </row>
    <row r="120" spans="4:22" s="694" customFormat="1" x14ac:dyDescent="0.35">
      <c r="D120" s="702"/>
      <c r="M120" s="703"/>
      <c r="T120" s="699"/>
      <c r="U120" s="699"/>
      <c r="V120" s="699"/>
    </row>
    <row r="121" spans="4:22" s="694" customFormat="1" x14ac:dyDescent="0.35">
      <c r="D121" s="702"/>
      <c r="M121" s="703"/>
      <c r="T121" s="699"/>
      <c r="U121" s="699"/>
      <c r="V121" s="699"/>
    </row>
    <row r="122" spans="4:22" s="694" customFormat="1" x14ac:dyDescent="0.35">
      <c r="D122" s="702"/>
      <c r="M122" s="703"/>
      <c r="T122" s="699"/>
      <c r="U122" s="699"/>
      <c r="V122" s="699"/>
    </row>
    <row r="123" spans="4:22" s="694" customFormat="1" x14ac:dyDescent="0.35">
      <c r="D123" s="702"/>
      <c r="M123" s="703"/>
      <c r="T123" s="699"/>
      <c r="U123" s="699"/>
      <c r="V123" s="699"/>
    </row>
    <row r="124" spans="4:22" s="694" customFormat="1" x14ac:dyDescent="0.35">
      <c r="D124" s="702"/>
      <c r="M124" s="703"/>
      <c r="T124" s="699"/>
      <c r="U124" s="699"/>
      <c r="V124" s="699"/>
    </row>
    <row r="125" spans="4:22" s="694" customFormat="1" x14ac:dyDescent="0.35">
      <c r="D125" s="702"/>
      <c r="M125" s="703"/>
      <c r="T125" s="699"/>
      <c r="U125" s="699"/>
      <c r="V125" s="699"/>
    </row>
    <row r="126" spans="4:22" s="694" customFormat="1" x14ac:dyDescent="0.35">
      <c r="D126" s="702"/>
      <c r="M126" s="703"/>
      <c r="T126" s="699"/>
      <c r="U126" s="699"/>
      <c r="V126" s="699"/>
    </row>
    <row r="127" spans="4:22" s="694" customFormat="1" x14ac:dyDescent="0.35">
      <c r="D127" s="702"/>
      <c r="M127" s="703"/>
      <c r="T127" s="699"/>
      <c r="U127" s="699"/>
      <c r="V127" s="699"/>
    </row>
    <row r="128" spans="4:22" s="694" customFormat="1" x14ac:dyDescent="0.35">
      <c r="D128" s="702"/>
      <c r="M128" s="703"/>
      <c r="T128" s="699"/>
      <c r="U128" s="699"/>
      <c r="V128" s="699"/>
    </row>
    <row r="129" spans="4:22" s="694" customFormat="1" x14ac:dyDescent="0.35">
      <c r="D129" s="702"/>
      <c r="M129" s="703"/>
      <c r="T129" s="699"/>
      <c r="U129" s="699"/>
      <c r="V129" s="699"/>
    </row>
    <row r="130" spans="4:22" s="694" customFormat="1" x14ac:dyDescent="0.35">
      <c r="D130" s="702"/>
      <c r="M130" s="703"/>
      <c r="T130" s="699"/>
      <c r="U130" s="699"/>
      <c r="V130" s="699"/>
    </row>
    <row r="131" spans="4:22" s="694" customFormat="1" x14ac:dyDescent="0.35">
      <c r="D131" s="702"/>
      <c r="M131" s="703"/>
      <c r="T131" s="699"/>
      <c r="U131" s="699"/>
      <c r="V131" s="699"/>
    </row>
    <row r="132" spans="4:22" s="694" customFormat="1" x14ac:dyDescent="0.35">
      <c r="D132" s="702"/>
      <c r="M132" s="703"/>
      <c r="T132" s="699"/>
      <c r="U132" s="699"/>
      <c r="V132" s="699"/>
    </row>
    <row r="133" spans="4:22" s="694" customFormat="1" x14ac:dyDescent="0.35">
      <c r="D133" s="702"/>
      <c r="M133" s="703"/>
      <c r="T133" s="699"/>
      <c r="U133" s="699"/>
      <c r="V133" s="699"/>
    </row>
    <row r="134" spans="4:22" s="694" customFormat="1" x14ac:dyDescent="0.35">
      <c r="D134" s="702"/>
      <c r="M134" s="703"/>
      <c r="T134" s="699"/>
      <c r="U134" s="699"/>
      <c r="V134" s="699"/>
    </row>
    <row r="135" spans="4:22" s="694" customFormat="1" x14ac:dyDescent="0.35">
      <c r="D135" s="702"/>
      <c r="M135" s="703"/>
      <c r="T135" s="699"/>
      <c r="U135" s="699"/>
      <c r="V135" s="699"/>
    </row>
    <row r="136" spans="4:22" s="694" customFormat="1" x14ac:dyDescent="0.35">
      <c r="D136" s="702"/>
      <c r="M136" s="703"/>
      <c r="T136" s="699"/>
      <c r="U136" s="699"/>
      <c r="V136" s="699"/>
    </row>
    <row r="137" spans="4:22" s="694" customFormat="1" x14ac:dyDescent="0.35">
      <c r="D137" s="702"/>
      <c r="M137" s="703"/>
      <c r="T137" s="699"/>
      <c r="U137" s="699"/>
      <c r="V137" s="699"/>
    </row>
    <row r="138" spans="4:22" s="694" customFormat="1" x14ac:dyDescent="0.35">
      <c r="D138" s="702"/>
      <c r="M138" s="703"/>
      <c r="T138" s="699"/>
      <c r="U138" s="699"/>
      <c r="V138" s="699"/>
    </row>
    <row r="139" spans="4:22" s="694" customFormat="1" x14ac:dyDescent="0.35">
      <c r="D139" s="702"/>
      <c r="M139" s="703"/>
      <c r="T139" s="699"/>
      <c r="U139" s="699"/>
      <c r="V139" s="699"/>
    </row>
    <row r="140" spans="4:22" s="694" customFormat="1" x14ac:dyDescent="0.35">
      <c r="D140" s="702"/>
      <c r="M140" s="703"/>
      <c r="T140" s="699"/>
      <c r="U140" s="699"/>
      <c r="V140" s="699"/>
    </row>
    <row r="141" spans="4:22" s="694" customFormat="1" x14ac:dyDescent="0.35">
      <c r="D141" s="702"/>
      <c r="M141" s="703"/>
      <c r="T141" s="699"/>
      <c r="U141" s="699"/>
      <c r="V141" s="699"/>
    </row>
    <row r="142" spans="4:22" s="694" customFormat="1" x14ac:dyDescent="0.35">
      <c r="D142" s="702"/>
      <c r="M142" s="703"/>
      <c r="T142" s="699"/>
      <c r="U142" s="699"/>
      <c r="V142" s="699"/>
    </row>
    <row r="143" spans="4:22" s="694" customFormat="1" x14ac:dyDescent="0.35">
      <c r="D143" s="702"/>
      <c r="M143" s="703"/>
      <c r="T143" s="699"/>
      <c r="U143" s="699"/>
      <c r="V143" s="699"/>
    </row>
    <row r="144" spans="4:22" s="694" customFormat="1" x14ac:dyDescent="0.35">
      <c r="D144" s="702"/>
      <c r="M144" s="703"/>
      <c r="T144" s="699"/>
      <c r="U144" s="699"/>
      <c r="V144" s="699"/>
    </row>
    <row r="145" spans="4:22" s="694" customFormat="1" x14ac:dyDescent="0.35">
      <c r="D145" s="702"/>
      <c r="M145" s="703"/>
      <c r="T145" s="699"/>
      <c r="U145" s="699"/>
      <c r="V145" s="699"/>
    </row>
    <row r="146" spans="4:22" s="694" customFormat="1" x14ac:dyDescent="0.35">
      <c r="D146" s="702"/>
      <c r="M146" s="703"/>
      <c r="T146" s="699"/>
      <c r="U146" s="699"/>
      <c r="V146" s="699"/>
    </row>
    <row r="147" spans="4:22" s="694" customFormat="1" x14ac:dyDescent="0.35">
      <c r="D147" s="702"/>
      <c r="M147" s="703"/>
      <c r="T147" s="699"/>
      <c r="U147" s="699"/>
      <c r="V147" s="699"/>
    </row>
    <row r="148" spans="4:22" s="694" customFormat="1" x14ac:dyDescent="0.35">
      <c r="D148" s="702"/>
      <c r="M148" s="703"/>
      <c r="T148" s="699"/>
      <c r="U148" s="699"/>
      <c r="V148" s="699"/>
    </row>
    <row r="149" spans="4:22" s="694" customFormat="1" x14ac:dyDescent="0.35">
      <c r="D149" s="702"/>
      <c r="M149" s="703"/>
      <c r="T149" s="699"/>
      <c r="U149" s="699"/>
      <c r="V149" s="699"/>
    </row>
    <row r="150" spans="4:22" s="694" customFormat="1" x14ac:dyDescent="0.35">
      <c r="D150" s="702"/>
      <c r="M150" s="703"/>
      <c r="T150" s="699"/>
      <c r="U150" s="699"/>
      <c r="V150" s="699"/>
    </row>
    <row r="151" spans="4:22" s="694" customFormat="1" x14ac:dyDescent="0.35">
      <c r="D151" s="702"/>
      <c r="M151" s="703"/>
      <c r="T151" s="699"/>
      <c r="U151" s="699"/>
      <c r="V151" s="699"/>
    </row>
    <row r="152" spans="4:22" s="694" customFormat="1" x14ac:dyDescent="0.35">
      <c r="D152" s="702"/>
      <c r="M152" s="703"/>
      <c r="T152" s="699"/>
      <c r="U152" s="699"/>
      <c r="V152" s="699"/>
    </row>
    <row r="153" spans="4:22" s="694" customFormat="1" x14ac:dyDescent="0.35">
      <c r="D153" s="702"/>
      <c r="M153" s="703"/>
      <c r="T153" s="699"/>
      <c r="U153" s="699"/>
      <c r="V153" s="699"/>
    </row>
    <row r="154" spans="4:22" s="694" customFormat="1" x14ac:dyDescent="0.35">
      <c r="D154" s="702"/>
      <c r="M154" s="703"/>
      <c r="T154" s="699"/>
      <c r="U154" s="699"/>
      <c r="V154" s="699"/>
    </row>
    <row r="155" spans="4:22" s="694" customFormat="1" x14ac:dyDescent="0.35">
      <c r="D155" s="702"/>
      <c r="M155" s="703"/>
      <c r="T155" s="699"/>
      <c r="U155" s="699"/>
      <c r="V155" s="699"/>
    </row>
    <row r="156" spans="4:22" s="694" customFormat="1" x14ac:dyDescent="0.35">
      <c r="D156" s="702"/>
      <c r="M156" s="703"/>
      <c r="T156" s="699"/>
      <c r="U156" s="699"/>
      <c r="V156" s="699"/>
    </row>
    <row r="157" spans="4:22" s="694" customFormat="1" x14ac:dyDescent="0.35">
      <c r="D157" s="702"/>
      <c r="M157" s="703"/>
      <c r="T157" s="699"/>
      <c r="U157" s="699"/>
      <c r="V157" s="699"/>
    </row>
    <row r="158" spans="4:22" s="694" customFormat="1" x14ac:dyDescent="0.35">
      <c r="D158" s="702"/>
      <c r="M158" s="703"/>
      <c r="T158" s="699"/>
      <c r="U158" s="699"/>
      <c r="V158" s="699"/>
    </row>
    <row r="159" spans="4:22" s="694" customFormat="1" x14ac:dyDescent="0.35">
      <c r="D159" s="702"/>
      <c r="M159" s="703"/>
      <c r="T159" s="699"/>
      <c r="U159" s="699"/>
      <c r="V159" s="699"/>
    </row>
    <row r="160" spans="4:22" s="694" customFormat="1" x14ac:dyDescent="0.35">
      <c r="D160" s="702"/>
      <c r="M160" s="703"/>
      <c r="T160" s="699"/>
      <c r="U160" s="699"/>
      <c r="V160" s="699"/>
    </row>
    <row r="161" spans="4:22" s="694" customFormat="1" x14ac:dyDescent="0.35">
      <c r="D161" s="702"/>
      <c r="M161" s="703"/>
      <c r="T161" s="699"/>
      <c r="U161" s="699"/>
      <c r="V161" s="699"/>
    </row>
    <row r="162" spans="4:22" s="694" customFormat="1" x14ac:dyDescent="0.35">
      <c r="D162" s="702"/>
      <c r="M162" s="703"/>
      <c r="T162" s="699"/>
      <c r="U162" s="699"/>
      <c r="V162" s="699"/>
    </row>
    <row r="163" spans="4:22" s="694" customFormat="1" x14ac:dyDescent="0.35">
      <c r="D163" s="702"/>
      <c r="M163" s="703"/>
      <c r="T163" s="699"/>
      <c r="U163" s="699"/>
      <c r="V163" s="699"/>
    </row>
    <row r="164" spans="4:22" s="694" customFormat="1" x14ac:dyDescent="0.35">
      <c r="D164" s="702"/>
      <c r="M164" s="703"/>
      <c r="T164" s="699"/>
      <c r="U164" s="699"/>
      <c r="V164" s="699"/>
    </row>
    <row r="165" spans="4:22" s="694" customFormat="1" x14ac:dyDescent="0.35">
      <c r="D165" s="702"/>
      <c r="M165" s="703"/>
      <c r="T165" s="699"/>
      <c r="U165" s="699"/>
      <c r="V165" s="699"/>
    </row>
    <row r="166" spans="4:22" s="694" customFormat="1" x14ac:dyDescent="0.35">
      <c r="D166" s="702"/>
      <c r="M166" s="703"/>
      <c r="T166" s="699"/>
      <c r="U166" s="699"/>
      <c r="V166" s="699"/>
    </row>
    <row r="167" spans="4:22" s="694" customFormat="1" x14ac:dyDescent="0.35">
      <c r="D167" s="702"/>
      <c r="M167" s="703"/>
      <c r="T167" s="699"/>
      <c r="U167" s="699"/>
      <c r="V167" s="699"/>
    </row>
    <row r="168" spans="4:22" s="694" customFormat="1" x14ac:dyDescent="0.35">
      <c r="D168" s="702"/>
      <c r="M168" s="703"/>
      <c r="T168" s="699"/>
      <c r="U168" s="699"/>
      <c r="V168" s="699"/>
    </row>
    <row r="169" spans="4:22" s="694" customFormat="1" x14ac:dyDescent="0.35">
      <c r="D169" s="702"/>
      <c r="M169" s="703"/>
      <c r="T169" s="699"/>
      <c r="U169" s="699"/>
      <c r="V169" s="699"/>
    </row>
    <row r="170" spans="4:22" s="694" customFormat="1" x14ac:dyDescent="0.35">
      <c r="D170" s="702"/>
      <c r="M170" s="703"/>
      <c r="T170" s="699"/>
      <c r="U170" s="699"/>
      <c r="V170" s="699"/>
    </row>
    <row r="171" spans="4:22" s="694" customFormat="1" x14ac:dyDescent="0.35">
      <c r="D171" s="702"/>
      <c r="M171" s="703"/>
      <c r="T171" s="699"/>
      <c r="U171" s="699"/>
      <c r="V171" s="699"/>
    </row>
    <row r="172" spans="4:22" s="694" customFormat="1" x14ac:dyDescent="0.35">
      <c r="D172" s="702"/>
      <c r="M172" s="703"/>
      <c r="T172" s="699"/>
      <c r="U172" s="699"/>
      <c r="V172" s="699"/>
    </row>
    <row r="173" spans="4:22" s="694" customFormat="1" x14ac:dyDescent="0.35">
      <c r="D173" s="702"/>
      <c r="M173" s="703"/>
      <c r="T173" s="699"/>
      <c r="U173" s="699"/>
      <c r="V173" s="699"/>
    </row>
    <row r="174" spans="4:22" s="694" customFormat="1" x14ac:dyDescent="0.35">
      <c r="D174" s="702"/>
      <c r="M174" s="703"/>
      <c r="T174" s="699"/>
      <c r="U174" s="699"/>
      <c r="V174" s="699"/>
    </row>
    <row r="175" spans="4:22" s="694" customFormat="1" x14ac:dyDescent="0.35">
      <c r="D175" s="702"/>
      <c r="M175" s="703"/>
      <c r="T175" s="699"/>
      <c r="U175" s="699"/>
      <c r="V175" s="699"/>
    </row>
    <row r="176" spans="4:22" s="694" customFormat="1" x14ac:dyDescent="0.35">
      <c r="D176" s="702"/>
      <c r="M176" s="703"/>
      <c r="T176" s="699"/>
      <c r="U176" s="699"/>
      <c r="V176" s="699"/>
    </row>
    <row r="177" spans="4:22" s="694" customFormat="1" x14ac:dyDescent="0.35">
      <c r="D177" s="702"/>
      <c r="M177" s="703"/>
      <c r="T177" s="699"/>
      <c r="U177" s="699"/>
      <c r="V177" s="699"/>
    </row>
    <row r="178" spans="4:22" s="694" customFormat="1" x14ac:dyDescent="0.35">
      <c r="D178" s="702"/>
      <c r="M178" s="703"/>
      <c r="T178" s="699"/>
      <c r="U178" s="699"/>
      <c r="V178" s="699"/>
    </row>
    <row r="179" spans="4:22" s="694" customFormat="1" x14ac:dyDescent="0.35">
      <c r="D179" s="702"/>
      <c r="M179" s="703"/>
      <c r="T179" s="699"/>
      <c r="U179" s="699"/>
      <c r="V179" s="699"/>
    </row>
    <row r="180" spans="4:22" s="694" customFormat="1" x14ac:dyDescent="0.35">
      <c r="D180" s="702"/>
      <c r="M180" s="703"/>
      <c r="T180" s="699"/>
      <c r="U180" s="699"/>
      <c r="V180" s="699"/>
    </row>
    <row r="181" spans="4:22" s="694" customFormat="1" x14ac:dyDescent="0.35">
      <c r="D181" s="702"/>
      <c r="M181" s="703"/>
      <c r="T181" s="699"/>
      <c r="U181" s="699"/>
      <c r="V181" s="699"/>
    </row>
    <row r="182" spans="4:22" s="694" customFormat="1" x14ac:dyDescent="0.35">
      <c r="D182" s="702"/>
      <c r="M182" s="703"/>
      <c r="T182" s="699"/>
      <c r="U182" s="699"/>
      <c r="V182" s="699"/>
    </row>
    <row r="183" spans="4:22" s="694" customFormat="1" x14ac:dyDescent="0.35">
      <c r="D183" s="702"/>
      <c r="M183" s="703"/>
      <c r="T183" s="699"/>
      <c r="U183" s="699"/>
      <c r="V183" s="699"/>
    </row>
    <row r="184" spans="4:22" s="694" customFormat="1" x14ac:dyDescent="0.35">
      <c r="D184" s="702"/>
      <c r="M184" s="703"/>
      <c r="T184" s="699"/>
      <c r="U184" s="699"/>
      <c r="V184" s="699"/>
    </row>
    <row r="185" spans="4:22" s="694" customFormat="1" x14ac:dyDescent="0.35">
      <c r="D185" s="702"/>
      <c r="M185" s="703"/>
      <c r="T185" s="699"/>
      <c r="U185" s="699"/>
      <c r="V185" s="699"/>
    </row>
    <row r="186" spans="4:22" s="694" customFormat="1" x14ac:dyDescent="0.35">
      <c r="D186" s="702"/>
      <c r="M186" s="703"/>
      <c r="T186" s="699"/>
      <c r="U186" s="699"/>
      <c r="V186" s="699"/>
    </row>
    <row r="187" spans="4:22" s="694" customFormat="1" x14ac:dyDescent="0.35">
      <c r="D187" s="702"/>
      <c r="M187" s="703"/>
      <c r="T187" s="699"/>
      <c r="U187" s="699"/>
      <c r="V187" s="699"/>
    </row>
    <row r="188" spans="4:22" s="694" customFormat="1" x14ac:dyDescent="0.35">
      <c r="D188" s="702"/>
      <c r="M188" s="703"/>
      <c r="T188" s="699"/>
      <c r="U188" s="699"/>
      <c r="V188" s="699"/>
    </row>
    <row r="189" spans="4:22" s="694" customFormat="1" x14ac:dyDescent="0.35">
      <c r="D189" s="702"/>
      <c r="M189" s="703"/>
      <c r="T189" s="699"/>
      <c r="U189" s="699"/>
      <c r="V189" s="699"/>
    </row>
    <row r="190" spans="4:22" s="694" customFormat="1" x14ac:dyDescent="0.35">
      <c r="D190" s="702"/>
      <c r="M190" s="703"/>
      <c r="T190" s="699"/>
      <c r="U190" s="699"/>
      <c r="V190" s="699"/>
    </row>
    <row r="191" spans="4:22" s="694" customFormat="1" x14ac:dyDescent="0.35">
      <c r="D191" s="702"/>
      <c r="M191" s="703"/>
      <c r="T191" s="699"/>
      <c r="U191" s="699"/>
      <c r="V191" s="699"/>
    </row>
    <row r="192" spans="4:22" s="694" customFormat="1" x14ac:dyDescent="0.35">
      <c r="D192" s="702"/>
      <c r="M192" s="703"/>
      <c r="T192" s="699"/>
      <c r="U192" s="699"/>
      <c r="V192" s="699"/>
    </row>
    <row r="193" spans="4:22" s="694" customFormat="1" x14ac:dyDescent="0.35">
      <c r="D193" s="702"/>
      <c r="M193" s="703"/>
      <c r="T193" s="699"/>
      <c r="U193" s="699"/>
      <c r="V193" s="699"/>
    </row>
    <row r="194" spans="4:22" s="694" customFormat="1" x14ac:dyDescent="0.35">
      <c r="D194" s="702"/>
      <c r="M194" s="703"/>
      <c r="T194" s="699"/>
      <c r="U194" s="699"/>
      <c r="V194" s="699"/>
    </row>
    <row r="195" spans="4:22" s="694" customFormat="1" x14ac:dyDescent="0.35">
      <c r="D195" s="702"/>
      <c r="M195" s="703"/>
      <c r="T195" s="699"/>
      <c r="U195" s="699"/>
      <c r="V195" s="699"/>
    </row>
    <row r="196" spans="4:22" s="694" customFormat="1" x14ac:dyDescent="0.35">
      <c r="D196" s="702"/>
      <c r="M196" s="703"/>
      <c r="T196" s="699"/>
      <c r="U196" s="699"/>
      <c r="V196" s="699"/>
    </row>
    <row r="197" spans="4:22" s="694" customFormat="1" x14ac:dyDescent="0.35">
      <c r="D197" s="702"/>
      <c r="M197" s="703"/>
      <c r="T197" s="699"/>
      <c r="U197" s="699"/>
      <c r="V197" s="699"/>
    </row>
    <row r="198" spans="4:22" s="694" customFormat="1" x14ac:dyDescent="0.35">
      <c r="D198" s="702"/>
      <c r="M198" s="703"/>
      <c r="T198" s="699"/>
      <c r="U198" s="699"/>
      <c r="V198" s="699"/>
    </row>
    <row r="199" spans="4:22" s="694" customFormat="1" x14ac:dyDescent="0.35">
      <c r="D199" s="702"/>
      <c r="M199" s="703"/>
      <c r="T199" s="699"/>
      <c r="U199" s="699"/>
      <c r="V199" s="699"/>
    </row>
    <row r="200" spans="4:22" s="694" customFormat="1" x14ac:dyDescent="0.35">
      <c r="D200" s="702"/>
      <c r="M200" s="703"/>
      <c r="T200" s="699"/>
      <c r="U200" s="699"/>
      <c r="V200" s="699"/>
    </row>
    <row r="201" spans="4:22" s="694" customFormat="1" x14ac:dyDescent="0.35">
      <c r="D201" s="702"/>
      <c r="M201" s="703"/>
      <c r="T201" s="699"/>
      <c r="U201" s="699"/>
      <c r="V201" s="699"/>
    </row>
    <row r="202" spans="4:22" s="694" customFormat="1" x14ac:dyDescent="0.35">
      <c r="D202" s="702"/>
      <c r="M202" s="703"/>
      <c r="T202" s="699"/>
      <c r="U202" s="699"/>
      <c r="V202" s="699"/>
    </row>
    <row r="203" spans="4:22" s="694" customFormat="1" x14ac:dyDescent="0.35">
      <c r="D203" s="702"/>
      <c r="M203" s="703"/>
      <c r="T203" s="699"/>
      <c r="U203" s="699"/>
      <c r="V203" s="699"/>
    </row>
    <row r="204" spans="4:22" s="694" customFormat="1" x14ac:dyDescent="0.35">
      <c r="D204" s="702"/>
      <c r="M204" s="703"/>
      <c r="T204" s="699"/>
      <c r="U204" s="699"/>
      <c r="V204" s="699"/>
    </row>
    <row r="205" spans="4:22" s="694" customFormat="1" x14ac:dyDescent="0.35">
      <c r="D205" s="702"/>
      <c r="M205" s="703"/>
      <c r="T205" s="699"/>
      <c r="U205" s="699"/>
      <c r="V205" s="699"/>
    </row>
    <row r="206" spans="4:22" s="694" customFormat="1" x14ac:dyDescent="0.35">
      <c r="D206" s="702"/>
      <c r="M206" s="703"/>
      <c r="T206" s="699"/>
      <c r="U206" s="699"/>
      <c r="V206" s="699"/>
    </row>
    <row r="207" spans="4:22" s="694" customFormat="1" x14ac:dyDescent="0.35">
      <c r="D207" s="702"/>
      <c r="M207" s="703"/>
      <c r="T207" s="699"/>
      <c r="U207" s="699"/>
      <c r="V207" s="699"/>
    </row>
    <row r="208" spans="4:22" s="694" customFormat="1" x14ac:dyDescent="0.35">
      <c r="D208" s="702"/>
      <c r="M208" s="703"/>
      <c r="T208" s="699"/>
      <c r="U208" s="699"/>
      <c r="V208" s="699"/>
    </row>
    <row r="209" spans="4:22" s="694" customFormat="1" x14ac:dyDescent="0.35">
      <c r="D209" s="702"/>
      <c r="M209" s="703"/>
      <c r="T209" s="699"/>
      <c r="U209" s="699"/>
      <c r="V209" s="699"/>
    </row>
    <row r="210" spans="4:22" s="694" customFormat="1" x14ac:dyDescent="0.35">
      <c r="D210" s="702"/>
      <c r="M210" s="703"/>
      <c r="T210" s="699"/>
      <c r="U210" s="699"/>
      <c r="V210" s="699"/>
    </row>
    <row r="211" spans="4:22" s="694" customFormat="1" x14ac:dyDescent="0.35">
      <c r="D211" s="702"/>
      <c r="M211" s="703"/>
      <c r="T211" s="699"/>
      <c r="U211" s="699"/>
      <c r="V211" s="699"/>
    </row>
    <row r="212" spans="4:22" s="694" customFormat="1" x14ac:dyDescent="0.35">
      <c r="D212" s="702"/>
      <c r="M212" s="703"/>
      <c r="T212" s="699"/>
      <c r="U212" s="699"/>
      <c r="V212" s="699"/>
    </row>
    <row r="213" spans="4:22" s="694" customFormat="1" x14ac:dyDescent="0.35">
      <c r="D213" s="702"/>
      <c r="M213" s="703"/>
      <c r="T213" s="699"/>
      <c r="U213" s="699"/>
      <c r="V213" s="699"/>
    </row>
    <row r="214" spans="4:22" s="694" customFormat="1" x14ac:dyDescent="0.35">
      <c r="D214" s="702"/>
      <c r="M214" s="703"/>
      <c r="T214" s="699"/>
      <c r="U214" s="699"/>
      <c r="V214" s="699"/>
    </row>
    <row r="215" spans="4:22" s="694" customFormat="1" x14ac:dyDescent="0.35">
      <c r="D215" s="702"/>
      <c r="M215" s="703"/>
      <c r="T215" s="699"/>
      <c r="U215" s="699"/>
      <c r="V215" s="699"/>
    </row>
    <row r="216" spans="4:22" s="694" customFormat="1" x14ac:dyDescent="0.35">
      <c r="D216" s="702"/>
      <c r="M216" s="703"/>
      <c r="T216" s="699"/>
      <c r="U216" s="699"/>
      <c r="V216" s="699"/>
    </row>
    <row r="217" spans="4:22" s="694" customFormat="1" x14ac:dyDescent="0.35">
      <c r="D217" s="702"/>
      <c r="M217" s="703"/>
      <c r="T217" s="699"/>
      <c r="U217" s="699"/>
      <c r="V217" s="699"/>
    </row>
    <row r="218" spans="4:22" s="694" customFormat="1" x14ac:dyDescent="0.35">
      <c r="D218" s="702"/>
      <c r="M218" s="703"/>
      <c r="T218" s="699"/>
      <c r="U218" s="699"/>
      <c r="V218" s="699"/>
    </row>
    <row r="219" spans="4:22" s="694" customFormat="1" x14ac:dyDescent="0.35">
      <c r="D219" s="702"/>
      <c r="M219" s="703"/>
      <c r="T219" s="699"/>
      <c r="U219" s="699"/>
      <c r="V219" s="699"/>
    </row>
    <row r="220" spans="4:22" s="694" customFormat="1" x14ac:dyDescent="0.35">
      <c r="D220" s="702"/>
      <c r="M220" s="703"/>
      <c r="T220" s="699"/>
      <c r="U220" s="699"/>
      <c r="V220" s="699"/>
    </row>
    <row r="221" spans="4:22" s="694" customFormat="1" x14ac:dyDescent="0.35">
      <c r="D221" s="702"/>
      <c r="M221" s="703"/>
      <c r="T221" s="699"/>
      <c r="U221" s="699"/>
      <c r="V221" s="699"/>
    </row>
    <row r="222" spans="4:22" s="694" customFormat="1" x14ac:dyDescent="0.35">
      <c r="D222" s="702"/>
      <c r="M222" s="703"/>
      <c r="T222" s="699"/>
      <c r="U222" s="699"/>
      <c r="V222" s="699"/>
    </row>
    <row r="223" spans="4:22" s="694" customFormat="1" x14ac:dyDescent="0.35">
      <c r="D223" s="702"/>
      <c r="M223" s="703"/>
      <c r="T223" s="699"/>
      <c r="U223" s="699"/>
      <c r="V223" s="699"/>
    </row>
    <row r="224" spans="4:22" s="694" customFormat="1" x14ac:dyDescent="0.35">
      <c r="D224" s="702"/>
      <c r="M224" s="703"/>
      <c r="T224" s="699"/>
      <c r="U224" s="699"/>
      <c r="V224" s="699"/>
    </row>
    <row r="225" spans="4:22" s="694" customFormat="1" x14ac:dyDescent="0.35">
      <c r="D225" s="702"/>
      <c r="M225" s="703"/>
      <c r="T225" s="699"/>
      <c r="U225" s="699"/>
      <c r="V225" s="699"/>
    </row>
    <row r="226" spans="4:22" s="694" customFormat="1" x14ac:dyDescent="0.35">
      <c r="D226" s="702"/>
      <c r="M226" s="703"/>
      <c r="T226" s="699"/>
      <c r="U226" s="699"/>
      <c r="V226" s="699"/>
    </row>
    <row r="227" spans="4:22" s="694" customFormat="1" x14ac:dyDescent="0.35">
      <c r="D227" s="702"/>
      <c r="M227" s="703"/>
      <c r="T227" s="699"/>
      <c r="U227" s="699"/>
      <c r="V227" s="699"/>
    </row>
    <row r="228" spans="4:22" s="694" customFormat="1" x14ac:dyDescent="0.35">
      <c r="D228" s="702"/>
      <c r="M228" s="703"/>
      <c r="T228" s="699"/>
      <c r="U228" s="699"/>
      <c r="V228" s="699"/>
    </row>
    <row r="229" spans="4:22" s="694" customFormat="1" x14ac:dyDescent="0.35">
      <c r="D229" s="702"/>
      <c r="M229" s="703"/>
      <c r="T229" s="699"/>
      <c r="U229" s="699"/>
      <c r="V229" s="699"/>
    </row>
    <row r="230" spans="4:22" s="694" customFormat="1" x14ac:dyDescent="0.35">
      <c r="D230" s="702"/>
      <c r="M230" s="703"/>
      <c r="T230" s="699"/>
      <c r="U230" s="699"/>
      <c r="V230" s="699"/>
    </row>
    <row r="231" spans="4:22" s="694" customFormat="1" x14ac:dyDescent="0.35">
      <c r="D231" s="702"/>
      <c r="M231" s="703"/>
      <c r="T231" s="699"/>
      <c r="U231" s="699"/>
      <c r="V231" s="699"/>
    </row>
    <row r="232" spans="4:22" s="694" customFormat="1" x14ac:dyDescent="0.35">
      <c r="D232" s="702"/>
      <c r="M232" s="703"/>
      <c r="T232" s="699"/>
      <c r="U232" s="699"/>
      <c r="V232" s="699"/>
    </row>
    <row r="233" spans="4:22" s="694" customFormat="1" x14ac:dyDescent="0.35">
      <c r="D233" s="702"/>
      <c r="M233" s="703"/>
      <c r="T233" s="699"/>
      <c r="U233" s="699"/>
      <c r="V233" s="699"/>
    </row>
    <row r="234" spans="4:22" s="694" customFormat="1" x14ac:dyDescent="0.35">
      <c r="D234" s="702"/>
      <c r="M234" s="703"/>
      <c r="T234" s="699"/>
      <c r="U234" s="699"/>
      <c r="V234" s="699"/>
    </row>
    <row r="235" spans="4:22" s="694" customFormat="1" x14ac:dyDescent="0.35">
      <c r="D235" s="702"/>
      <c r="M235" s="703"/>
      <c r="T235" s="699"/>
      <c r="U235" s="699"/>
      <c r="V235" s="699"/>
    </row>
    <row r="236" spans="4:22" s="694" customFormat="1" x14ac:dyDescent="0.35">
      <c r="D236" s="702"/>
      <c r="M236" s="703"/>
      <c r="T236" s="699"/>
      <c r="U236" s="699"/>
      <c r="V236" s="699"/>
    </row>
    <row r="237" spans="4:22" s="694" customFormat="1" x14ac:dyDescent="0.35">
      <c r="D237" s="702"/>
      <c r="M237" s="703"/>
      <c r="T237" s="699"/>
      <c r="U237" s="699"/>
      <c r="V237" s="699"/>
    </row>
    <row r="238" spans="4:22" s="694" customFormat="1" x14ac:dyDescent="0.35">
      <c r="D238" s="702"/>
      <c r="M238" s="703"/>
      <c r="T238" s="699"/>
      <c r="U238" s="699"/>
      <c r="V238" s="699"/>
    </row>
    <row r="239" spans="4:22" s="694" customFormat="1" x14ac:dyDescent="0.35">
      <c r="D239" s="702"/>
      <c r="M239" s="703"/>
      <c r="T239" s="699"/>
      <c r="U239" s="699"/>
      <c r="V239" s="699"/>
    </row>
    <row r="240" spans="4:22" s="694" customFormat="1" x14ac:dyDescent="0.35">
      <c r="D240" s="702"/>
      <c r="M240" s="703"/>
      <c r="T240" s="699"/>
      <c r="U240" s="699"/>
      <c r="V240" s="699"/>
    </row>
    <row r="241" spans="4:22" s="694" customFormat="1" x14ac:dyDescent="0.35">
      <c r="D241" s="702"/>
      <c r="M241" s="703"/>
      <c r="T241" s="699"/>
      <c r="U241" s="699"/>
      <c r="V241" s="699"/>
    </row>
    <row r="242" spans="4:22" s="694" customFormat="1" x14ac:dyDescent="0.35">
      <c r="D242" s="702"/>
      <c r="M242" s="703"/>
      <c r="T242" s="699"/>
      <c r="U242" s="699"/>
      <c r="V242" s="699"/>
    </row>
    <row r="243" spans="4:22" s="694" customFormat="1" x14ac:dyDescent="0.35">
      <c r="D243" s="702"/>
      <c r="M243" s="703"/>
      <c r="T243" s="699"/>
      <c r="U243" s="699"/>
      <c r="V243" s="699"/>
    </row>
    <row r="244" spans="4:22" s="694" customFormat="1" x14ac:dyDescent="0.35">
      <c r="D244" s="702"/>
      <c r="M244" s="703"/>
      <c r="T244" s="699"/>
      <c r="U244" s="699"/>
      <c r="V244" s="699"/>
    </row>
    <row r="245" spans="4:22" s="694" customFormat="1" x14ac:dyDescent="0.35">
      <c r="D245" s="702"/>
      <c r="M245" s="703"/>
      <c r="T245" s="699"/>
      <c r="U245" s="699"/>
      <c r="V245" s="699"/>
    </row>
    <row r="246" spans="4:22" s="694" customFormat="1" x14ac:dyDescent="0.35">
      <c r="D246" s="702"/>
      <c r="M246" s="703"/>
      <c r="T246" s="699"/>
      <c r="U246" s="699"/>
      <c r="V246" s="699"/>
    </row>
    <row r="247" spans="4:22" s="694" customFormat="1" x14ac:dyDescent="0.35">
      <c r="D247" s="702"/>
      <c r="M247" s="703"/>
      <c r="T247" s="699"/>
      <c r="U247" s="699"/>
      <c r="V247" s="699"/>
    </row>
    <row r="248" spans="4:22" s="694" customFormat="1" x14ac:dyDescent="0.35">
      <c r="D248" s="702"/>
      <c r="M248" s="703"/>
      <c r="T248" s="699"/>
      <c r="U248" s="699"/>
      <c r="V248" s="699"/>
    </row>
    <row r="249" spans="4:22" s="694" customFormat="1" x14ac:dyDescent="0.35">
      <c r="D249" s="702"/>
      <c r="M249" s="703"/>
      <c r="T249" s="699"/>
      <c r="U249" s="699"/>
      <c r="V249" s="699"/>
    </row>
    <row r="250" spans="4:22" s="694" customFormat="1" x14ac:dyDescent="0.35">
      <c r="D250" s="702"/>
      <c r="M250" s="703"/>
      <c r="T250" s="699"/>
      <c r="U250" s="699"/>
      <c r="V250" s="699"/>
    </row>
    <row r="251" spans="4:22" s="694" customFormat="1" x14ac:dyDescent="0.35">
      <c r="D251" s="702"/>
      <c r="M251" s="703"/>
      <c r="T251" s="699"/>
      <c r="U251" s="699"/>
      <c r="V251" s="699"/>
    </row>
    <row r="252" spans="4:22" s="694" customFormat="1" x14ac:dyDescent="0.35">
      <c r="D252" s="702"/>
      <c r="M252" s="703"/>
      <c r="T252" s="699"/>
      <c r="U252" s="699"/>
      <c r="V252" s="699"/>
    </row>
    <row r="253" spans="4:22" s="694" customFormat="1" x14ac:dyDescent="0.35">
      <c r="D253" s="702"/>
      <c r="M253" s="703"/>
      <c r="T253" s="699"/>
      <c r="U253" s="699"/>
      <c r="V253" s="699"/>
    </row>
    <row r="254" spans="4:22" s="694" customFormat="1" x14ac:dyDescent="0.35">
      <c r="D254" s="702"/>
      <c r="M254" s="703"/>
      <c r="T254" s="699"/>
      <c r="U254" s="699"/>
      <c r="V254" s="699"/>
    </row>
    <row r="255" spans="4:22" s="694" customFormat="1" x14ac:dyDescent="0.35">
      <c r="D255" s="702"/>
      <c r="M255" s="703"/>
      <c r="T255" s="699"/>
      <c r="U255" s="699"/>
      <c r="V255" s="699"/>
    </row>
    <row r="256" spans="4:22" s="694" customFormat="1" x14ac:dyDescent="0.35">
      <c r="D256" s="702"/>
      <c r="M256" s="703"/>
      <c r="T256" s="699"/>
      <c r="U256" s="699"/>
      <c r="V256" s="699"/>
    </row>
    <row r="257" spans="4:22" s="694" customFormat="1" x14ac:dyDescent="0.35">
      <c r="D257" s="702"/>
      <c r="M257" s="703"/>
      <c r="T257" s="699"/>
      <c r="U257" s="699"/>
      <c r="V257" s="699"/>
    </row>
    <row r="258" spans="4:22" s="694" customFormat="1" x14ac:dyDescent="0.35">
      <c r="D258" s="702"/>
      <c r="M258" s="703"/>
      <c r="T258" s="699"/>
      <c r="U258" s="699"/>
      <c r="V258" s="699"/>
    </row>
    <row r="259" spans="4:22" s="694" customFormat="1" x14ac:dyDescent="0.35">
      <c r="D259" s="702"/>
      <c r="M259" s="703"/>
      <c r="T259" s="699"/>
      <c r="U259" s="699"/>
      <c r="V259" s="699"/>
    </row>
    <row r="260" spans="4:22" s="694" customFormat="1" x14ac:dyDescent="0.35">
      <c r="D260" s="702"/>
      <c r="M260" s="703"/>
      <c r="T260" s="699"/>
      <c r="U260" s="699"/>
      <c r="V260" s="699"/>
    </row>
    <row r="261" spans="4:22" s="694" customFormat="1" x14ac:dyDescent="0.35">
      <c r="D261" s="702"/>
      <c r="M261" s="703"/>
      <c r="T261" s="699"/>
      <c r="U261" s="699"/>
      <c r="V261" s="699"/>
    </row>
    <row r="262" spans="4:22" s="694" customFormat="1" x14ac:dyDescent="0.35">
      <c r="D262" s="702"/>
      <c r="M262" s="703"/>
      <c r="T262" s="699"/>
      <c r="U262" s="699"/>
      <c r="V262" s="699"/>
    </row>
    <row r="263" spans="4:22" s="694" customFormat="1" x14ac:dyDescent="0.35">
      <c r="D263" s="702"/>
      <c r="M263" s="703"/>
      <c r="T263" s="699"/>
      <c r="U263" s="699"/>
      <c r="V263" s="699"/>
    </row>
    <row r="264" spans="4:22" s="694" customFormat="1" x14ac:dyDescent="0.35">
      <c r="D264" s="702"/>
      <c r="M264" s="703"/>
      <c r="T264" s="699"/>
      <c r="U264" s="699"/>
      <c r="V264" s="699"/>
    </row>
    <row r="265" spans="4:22" s="694" customFormat="1" x14ac:dyDescent="0.35">
      <c r="D265" s="702"/>
      <c r="M265" s="703"/>
      <c r="T265" s="699"/>
      <c r="U265" s="699"/>
      <c r="V265" s="699"/>
    </row>
    <row r="266" spans="4:22" s="694" customFormat="1" x14ac:dyDescent="0.35">
      <c r="D266" s="702"/>
      <c r="M266" s="703"/>
      <c r="T266" s="699"/>
      <c r="U266" s="699"/>
      <c r="V266" s="699"/>
    </row>
    <row r="267" spans="4:22" s="694" customFormat="1" x14ac:dyDescent="0.35">
      <c r="D267" s="702"/>
      <c r="M267" s="703"/>
      <c r="T267" s="699"/>
      <c r="U267" s="699"/>
      <c r="V267" s="699"/>
    </row>
    <row r="268" spans="4:22" s="694" customFormat="1" x14ac:dyDescent="0.35">
      <c r="D268" s="702"/>
      <c r="M268" s="703"/>
      <c r="T268" s="699"/>
      <c r="U268" s="699"/>
      <c r="V268" s="699"/>
    </row>
    <row r="269" spans="4:22" s="694" customFormat="1" x14ac:dyDescent="0.35">
      <c r="D269" s="702"/>
      <c r="M269" s="703"/>
      <c r="T269" s="699"/>
      <c r="U269" s="699"/>
      <c r="V269" s="699"/>
    </row>
    <row r="270" spans="4:22" s="694" customFormat="1" x14ac:dyDescent="0.35">
      <c r="D270" s="702"/>
      <c r="M270" s="703"/>
      <c r="T270" s="699"/>
      <c r="U270" s="699"/>
      <c r="V270" s="699"/>
    </row>
    <row r="271" spans="4:22" s="694" customFormat="1" x14ac:dyDescent="0.35">
      <c r="D271" s="702"/>
      <c r="M271" s="703"/>
      <c r="T271" s="699"/>
      <c r="U271" s="699"/>
      <c r="V271" s="699"/>
    </row>
    <row r="272" spans="4:22" s="694" customFormat="1" x14ac:dyDescent="0.35">
      <c r="D272" s="702"/>
      <c r="M272" s="703"/>
      <c r="T272" s="699"/>
      <c r="U272" s="699"/>
      <c r="V272" s="699"/>
    </row>
    <row r="273" spans="4:22" s="694" customFormat="1" x14ac:dyDescent="0.35">
      <c r="D273" s="702"/>
      <c r="M273" s="703"/>
      <c r="T273" s="699"/>
      <c r="U273" s="699"/>
      <c r="V273" s="699"/>
    </row>
    <row r="274" spans="4:22" s="694" customFormat="1" x14ac:dyDescent="0.35">
      <c r="D274" s="702"/>
      <c r="M274" s="703"/>
      <c r="T274" s="699"/>
      <c r="U274" s="699"/>
      <c r="V274" s="699"/>
    </row>
    <row r="275" spans="4:22" s="694" customFormat="1" x14ac:dyDescent="0.35">
      <c r="D275" s="702"/>
      <c r="M275" s="703"/>
      <c r="T275" s="699"/>
      <c r="U275" s="699"/>
      <c r="V275" s="699"/>
    </row>
    <row r="276" spans="4:22" s="694" customFormat="1" x14ac:dyDescent="0.35">
      <c r="D276" s="702"/>
      <c r="M276" s="703"/>
      <c r="T276" s="699"/>
      <c r="U276" s="699"/>
      <c r="V276" s="699"/>
    </row>
    <row r="277" spans="4:22" s="694" customFormat="1" x14ac:dyDescent="0.35">
      <c r="D277" s="702"/>
      <c r="M277" s="703"/>
      <c r="T277" s="699"/>
      <c r="U277" s="699"/>
      <c r="V277" s="699"/>
    </row>
    <row r="278" spans="4:22" s="694" customFormat="1" x14ac:dyDescent="0.35">
      <c r="D278" s="702"/>
      <c r="M278" s="703"/>
      <c r="T278" s="699"/>
      <c r="U278" s="699"/>
      <c r="V278" s="699"/>
    </row>
    <row r="279" spans="4:22" s="694" customFormat="1" x14ac:dyDescent="0.35">
      <c r="D279" s="702"/>
      <c r="M279" s="703"/>
      <c r="T279" s="699"/>
      <c r="U279" s="699"/>
      <c r="V279" s="699"/>
    </row>
    <row r="280" spans="4:22" s="694" customFormat="1" x14ac:dyDescent="0.35">
      <c r="D280" s="702"/>
      <c r="M280" s="703"/>
      <c r="T280" s="699"/>
      <c r="U280" s="699"/>
      <c r="V280" s="699"/>
    </row>
    <row r="281" spans="4:22" s="694" customFormat="1" x14ac:dyDescent="0.35">
      <c r="D281" s="702"/>
      <c r="M281" s="703"/>
      <c r="T281" s="699"/>
      <c r="U281" s="699"/>
      <c r="V281" s="699"/>
    </row>
    <row r="282" spans="4:22" s="694" customFormat="1" x14ac:dyDescent="0.35">
      <c r="D282" s="702"/>
      <c r="M282" s="703"/>
      <c r="T282" s="699"/>
      <c r="U282" s="699"/>
      <c r="V282" s="699"/>
    </row>
    <row r="283" spans="4:22" s="694" customFormat="1" x14ac:dyDescent="0.35">
      <c r="D283" s="702"/>
      <c r="M283" s="703"/>
      <c r="T283" s="699"/>
      <c r="U283" s="699"/>
      <c r="V283" s="699"/>
    </row>
    <row r="284" spans="4:22" s="694" customFormat="1" x14ac:dyDescent="0.35">
      <c r="D284" s="702"/>
      <c r="M284" s="703"/>
      <c r="T284" s="699"/>
      <c r="U284" s="699"/>
      <c r="V284" s="699"/>
    </row>
    <row r="285" spans="4:22" s="694" customFormat="1" x14ac:dyDescent="0.35">
      <c r="D285" s="702"/>
      <c r="M285" s="703"/>
      <c r="T285" s="699"/>
      <c r="U285" s="699"/>
      <c r="V285" s="699"/>
    </row>
    <row r="286" spans="4:22" s="694" customFormat="1" x14ac:dyDescent="0.35">
      <c r="D286" s="702"/>
      <c r="M286" s="703"/>
      <c r="T286" s="699"/>
      <c r="U286" s="699"/>
      <c r="V286" s="699"/>
    </row>
    <row r="287" spans="4:22" s="694" customFormat="1" x14ac:dyDescent="0.35">
      <c r="D287" s="702"/>
      <c r="M287" s="703"/>
      <c r="T287" s="699"/>
      <c r="U287" s="699"/>
      <c r="V287" s="699"/>
    </row>
    <row r="288" spans="4:22" s="694" customFormat="1" x14ac:dyDescent="0.35">
      <c r="D288" s="702"/>
      <c r="M288" s="703"/>
      <c r="T288" s="699"/>
      <c r="U288" s="699"/>
      <c r="V288" s="699"/>
    </row>
    <row r="289" spans="4:22" s="694" customFormat="1" x14ac:dyDescent="0.35">
      <c r="D289" s="702"/>
      <c r="M289" s="703"/>
      <c r="T289" s="699"/>
      <c r="U289" s="699"/>
      <c r="V289" s="699"/>
    </row>
    <row r="290" spans="4:22" s="694" customFormat="1" x14ac:dyDescent="0.35">
      <c r="D290" s="702"/>
      <c r="M290" s="703"/>
      <c r="T290" s="699"/>
      <c r="U290" s="699"/>
      <c r="V290" s="699"/>
    </row>
    <row r="291" spans="4:22" s="694" customFormat="1" x14ac:dyDescent="0.35">
      <c r="D291" s="702"/>
      <c r="M291" s="703"/>
      <c r="T291" s="699"/>
      <c r="U291" s="699"/>
      <c r="V291" s="699"/>
    </row>
    <row r="292" spans="4:22" s="694" customFormat="1" x14ac:dyDescent="0.35">
      <c r="D292" s="702"/>
      <c r="M292" s="703"/>
      <c r="T292" s="699"/>
      <c r="U292" s="699"/>
      <c r="V292" s="699"/>
    </row>
    <row r="293" spans="4:22" s="694" customFormat="1" x14ac:dyDescent="0.35">
      <c r="D293" s="702"/>
      <c r="M293" s="703"/>
      <c r="T293" s="699"/>
      <c r="U293" s="699"/>
      <c r="V293" s="699"/>
    </row>
    <row r="294" spans="4:22" s="694" customFormat="1" x14ac:dyDescent="0.35">
      <c r="D294" s="702"/>
      <c r="M294" s="703"/>
      <c r="T294" s="699"/>
      <c r="U294" s="699"/>
      <c r="V294" s="699"/>
    </row>
    <row r="295" spans="4:22" s="694" customFormat="1" x14ac:dyDescent="0.35">
      <c r="D295" s="702"/>
      <c r="M295" s="703"/>
      <c r="T295" s="699"/>
      <c r="U295" s="699"/>
      <c r="V295" s="699"/>
    </row>
    <row r="296" spans="4:22" s="694" customFormat="1" x14ac:dyDescent="0.35">
      <c r="D296" s="702"/>
      <c r="M296" s="703"/>
      <c r="T296" s="699"/>
      <c r="U296" s="699"/>
      <c r="V296" s="699"/>
    </row>
    <row r="297" spans="4:22" s="694" customFormat="1" x14ac:dyDescent="0.35">
      <c r="D297" s="702"/>
      <c r="M297" s="703"/>
      <c r="T297" s="699"/>
      <c r="U297" s="699"/>
      <c r="V297" s="699"/>
    </row>
    <row r="298" spans="4:22" s="694" customFormat="1" x14ac:dyDescent="0.35">
      <c r="D298" s="702"/>
      <c r="M298" s="703"/>
      <c r="T298" s="699"/>
      <c r="U298" s="699"/>
      <c r="V298" s="699"/>
    </row>
    <row r="299" spans="4:22" s="694" customFormat="1" x14ac:dyDescent="0.35">
      <c r="D299" s="702"/>
      <c r="M299" s="703"/>
      <c r="T299" s="699"/>
      <c r="U299" s="699"/>
      <c r="V299" s="699"/>
    </row>
    <row r="300" spans="4:22" s="694" customFormat="1" x14ac:dyDescent="0.35">
      <c r="D300" s="702"/>
      <c r="M300" s="703"/>
      <c r="T300" s="699"/>
      <c r="U300" s="699"/>
      <c r="V300" s="699"/>
    </row>
    <row r="301" spans="4:22" s="694" customFormat="1" x14ac:dyDescent="0.35">
      <c r="D301" s="702"/>
      <c r="M301" s="703"/>
      <c r="T301" s="699"/>
      <c r="U301" s="699"/>
      <c r="V301" s="699"/>
    </row>
    <row r="302" spans="4:22" s="694" customFormat="1" x14ac:dyDescent="0.35">
      <c r="D302" s="702"/>
      <c r="M302" s="703"/>
      <c r="T302" s="699"/>
      <c r="U302" s="699"/>
      <c r="V302" s="699"/>
    </row>
    <row r="303" spans="4:22" s="694" customFormat="1" x14ac:dyDescent="0.35">
      <c r="D303" s="702"/>
      <c r="M303" s="703"/>
      <c r="T303" s="699"/>
      <c r="U303" s="699"/>
      <c r="V303" s="699"/>
    </row>
    <row r="304" spans="4:22" s="694" customFormat="1" x14ac:dyDescent="0.35">
      <c r="D304" s="702"/>
      <c r="M304" s="703"/>
      <c r="T304" s="699"/>
      <c r="U304" s="699"/>
      <c r="V304" s="699"/>
    </row>
    <row r="305" spans="4:22" s="694" customFormat="1" x14ac:dyDescent="0.35">
      <c r="D305" s="702"/>
      <c r="M305" s="703"/>
      <c r="T305" s="699"/>
      <c r="U305" s="699"/>
      <c r="V305" s="699"/>
    </row>
    <row r="306" spans="4:22" s="694" customFormat="1" x14ac:dyDescent="0.35">
      <c r="D306" s="702"/>
      <c r="M306" s="703"/>
      <c r="T306" s="699"/>
      <c r="U306" s="699"/>
      <c r="V306" s="699"/>
    </row>
    <row r="307" spans="4:22" s="694" customFormat="1" x14ac:dyDescent="0.35">
      <c r="D307" s="702"/>
      <c r="M307" s="703"/>
      <c r="T307" s="699"/>
      <c r="U307" s="699"/>
      <c r="V307" s="699"/>
    </row>
    <row r="308" spans="4:22" s="694" customFormat="1" x14ac:dyDescent="0.35">
      <c r="D308" s="702"/>
      <c r="M308" s="703"/>
      <c r="T308" s="699"/>
      <c r="U308" s="699"/>
      <c r="V308" s="699"/>
    </row>
    <row r="309" spans="4:22" s="694" customFormat="1" x14ac:dyDescent="0.35">
      <c r="D309" s="702"/>
      <c r="M309" s="703"/>
      <c r="T309" s="699"/>
      <c r="U309" s="699"/>
      <c r="V309" s="699"/>
    </row>
    <row r="310" spans="4:22" s="694" customFormat="1" x14ac:dyDescent="0.35">
      <c r="D310" s="702"/>
      <c r="M310" s="703"/>
      <c r="T310" s="699"/>
      <c r="U310" s="699"/>
      <c r="V310" s="699"/>
    </row>
    <row r="311" spans="4:22" s="694" customFormat="1" x14ac:dyDescent="0.35">
      <c r="D311" s="702"/>
      <c r="M311" s="703"/>
      <c r="T311" s="699"/>
      <c r="U311" s="699"/>
      <c r="V311" s="699"/>
    </row>
    <row r="312" spans="4:22" s="694" customFormat="1" x14ac:dyDescent="0.35">
      <c r="D312" s="702"/>
      <c r="M312" s="703"/>
      <c r="T312" s="699"/>
      <c r="U312" s="699"/>
      <c r="V312" s="699"/>
    </row>
    <row r="313" spans="4:22" s="694" customFormat="1" x14ac:dyDescent="0.35">
      <c r="D313" s="702"/>
      <c r="M313" s="703"/>
      <c r="T313" s="699"/>
      <c r="U313" s="699"/>
      <c r="V313" s="699"/>
    </row>
    <row r="314" spans="4:22" s="694" customFormat="1" x14ac:dyDescent="0.35">
      <c r="D314" s="702"/>
      <c r="M314" s="703"/>
      <c r="T314" s="699"/>
      <c r="U314" s="699"/>
      <c r="V314" s="699"/>
    </row>
    <row r="315" spans="4:22" s="694" customFormat="1" x14ac:dyDescent="0.35">
      <c r="D315" s="702"/>
      <c r="M315" s="703"/>
      <c r="T315" s="699"/>
      <c r="U315" s="699"/>
      <c r="V315" s="699"/>
    </row>
    <row r="316" spans="4:22" s="694" customFormat="1" x14ac:dyDescent="0.35">
      <c r="D316" s="702"/>
      <c r="M316" s="703"/>
      <c r="T316" s="699"/>
      <c r="U316" s="699"/>
      <c r="V316" s="699"/>
    </row>
    <row r="317" spans="4:22" s="694" customFormat="1" x14ac:dyDescent="0.35">
      <c r="D317" s="702"/>
      <c r="M317" s="703"/>
      <c r="T317" s="699"/>
      <c r="U317" s="699"/>
      <c r="V317" s="699"/>
    </row>
    <row r="318" spans="4:22" s="694" customFormat="1" x14ac:dyDescent="0.35">
      <c r="D318" s="702"/>
      <c r="M318" s="703"/>
      <c r="T318" s="699"/>
      <c r="U318" s="699"/>
      <c r="V318" s="699"/>
    </row>
    <row r="319" spans="4:22" s="694" customFormat="1" x14ac:dyDescent="0.35">
      <c r="D319" s="702"/>
      <c r="M319" s="703"/>
      <c r="T319" s="699"/>
      <c r="U319" s="699"/>
      <c r="V319" s="699"/>
    </row>
    <row r="320" spans="4:22" s="694" customFormat="1" x14ac:dyDescent="0.35">
      <c r="D320" s="702"/>
      <c r="M320" s="703"/>
      <c r="T320" s="699"/>
      <c r="U320" s="699"/>
      <c r="V320" s="699"/>
    </row>
    <row r="321" spans="4:22" s="694" customFormat="1" x14ac:dyDescent="0.35">
      <c r="D321" s="702"/>
      <c r="M321" s="703"/>
      <c r="T321" s="699"/>
      <c r="U321" s="699"/>
      <c r="V321" s="699"/>
    </row>
    <row r="322" spans="4:22" s="694" customFormat="1" x14ac:dyDescent="0.35">
      <c r="D322" s="702"/>
      <c r="M322" s="703"/>
      <c r="T322" s="699"/>
      <c r="U322" s="699"/>
      <c r="V322" s="699"/>
    </row>
    <row r="323" spans="4:22" s="694" customFormat="1" x14ac:dyDescent="0.35">
      <c r="D323" s="702"/>
      <c r="M323" s="703"/>
      <c r="T323" s="699"/>
      <c r="U323" s="699"/>
      <c r="V323" s="699"/>
    </row>
    <row r="324" spans="4:22" s="694" customFormat="1" x14ac:dyDescent="0.35">
      <c r="D324" s="702"/>
      <c r="M324" s="703"/>
      <c r="T324" s="699"/>
      <c r="U324" s="699"/>
      <c r="V324" s="699"/>
    </row>
    <row r="325" spans="4:22" s="694" customFormat="1" x14ac:dyDescent="0.35">
      <c r="D325" s="702"/>
      <c r="M325" s="703"/>
      <c r="T325" s="699"/>
      <c r="U325" s="699"/>
      <c r="V325" s="699"/>
    </row>
    <row r="326" spans="4:22" s="694" customFormat="1" x14ac:dyDescent="0.35">
      <c r="D326" s="702"/>
      <c r="M326" s="703"/>
      <c r="T326" s="699"/>
      <c r="U326" s="699"/>
      <c r="V326" s="699"/>
    </row>
    <row r="327" spans="4:22" s="694" customFormat="1" x14ac:dyDescent="0.35">
      <c r="D327" s="702"/>
      <c r="M327" s="703"/>
      <c r="T327" s="699"/>
      <c r="U327" s="699"/>
      <c r="V327" s="699"/>
    </row>
    <row r="328" spans="4:22" s="694" customFormat="1" x14ac:dyDescent="0.35">
      <c r="D328" s="702"/>
      <c r="M328" s="703"/>
      <c r="T328" s="699"/>
      <c r="U328" s="699"/>
      <c r="V328" s="699"/>
    </row>
    <row r="329" spans="4:22" s="694" customFormat="1" x14ac:dyDescent="0.35">
      <c r="D329" s="702"/>
      <c r="M329" s="703"/>
      <c r="T329" s="699"/>
      <c r="U329" s="699"/>
      <c r="V329" s="699"/>
    </row>
    <row r="330" spans="4:22" s="694" customFormat="1" x14ac:dyDescent="0.35">
      <c r="D330" s="702"/>
      <c r="M330" s="703"/>
      <c r="T330" s="699"/>
      <c r="U330" s="699"/>
      <c r="V330" s="699"/>
    </row>
    <row r="331" spans="4:22" s="694" customFormat="1" x14ac:dyDescent="0.35">
      <c r="D331" s="702"/>
      <c r="M331" s="703"/>
      <c r="T331" s="699"/>
      <c r="U331" s="699"/>
      <c r="V331" s="699"/>
    </row>
    <row r="332" spans="4:22" s="694" customFormat="1" x14ac:dyDescent="0.35">
      <c r="D332" s="702"/>
      <c r="M332" s="703"/>
      <c r="T332" s="699"/>
      <c r="U332" s="699"/>
      <c r="V332" s="699"/>
    </row>
    <row r="333" spans="4:22" s="694" customFormat="1" x14ac:dyDescent="0.35">
      <c r="D333" s="702"/>
      <c r="M333" s="703"/>
      <c r="T333" s="699"/>
      <c r="U333" s="699"/>
      <c r="V333" s="699"/>
    </row>
    <row r="334" spans="4:22" s="694" customFormat="1" x14ac:dyDescent="0.35">
      <c r="D334" s="702"/>
      <c r="M334" s="703"/>
      <c r="T334" s="699"/>
      <c r="U334" s="699"/>
      <c r="V334" s="699"/>
    </row>
    <row r="335" spans="4:22" s="694" customFormat="1" x14ac:dyDescent="0.35">
      <c r="D335" s="702"/>
      <c r="M335" s="703"/>
      <c r="T335" s="699"/>
      <c r="U335" s="699"/>
      <c r="V335" s="699"/>
    </row>
    <row r="336" spans="4:22" s="694" customFormat="1" x14ac:dyDescent="0.35">
      <c r="D336" s="702"/>
      <c r="M336" s="703"/>
      <c r="T336" s="699"/>
      <c r="U336" s="699"/>
      <c r="V336" s="699"/>
    </row>
    <row r="337" spans="4:22" s="694" customFormat="1" x14ac:dyDescent="0.35">
      <c r="D337" s="702"/>
      <c r="M337" s="703"/>
      <c r="T337" s="699"/>
      <c r="U337" s="699"/>
      <c r="V337" s="699"/>
    </row>
    <row r="338" spans="4:22" s="694" customFormat="1" x14ac:dyDescent="0.35">
      <c r="D338" s="702"/>
      <c r="M338" s="703"/>
      <c r="T338" s="699"/>
      <c r="U338" s="699"/>
      <c r="V338" s="699"/>
    </row>
    <row r="339" spans="4:22" s="694" customFormat="1" x14ac:dyDescent="0.35">
      <c r="D339" s="702"/>
      <c r="M339" s="703"/>
      <c r="T339" s="699"/>
      <c r="U339" s="699"/>
      <c r="V339" s="699"/>
    </row>
    <row r="340" spans="4:22" s="694" customFormat="1" x14ac:dyDescent="0.35">
      <c r="D340" s="702"/>
      <c r="M340" s="703"/>
      <c r="T340" s="699"/>
      <c r="U340" s="699"/>
      <c r="V340" s="699"/>
    </row>
    <row r="341" spans="4:22" s="694" customFormat="1" x14ac:dyDescent="0.35">
      <c r="D341" s="702"/>
      <c r="M341" s="703"/>
      <c r="T341" s="699"/>
      <c r="U341" s="699"/>
      <c r="V341" s="699"/>
    </row>
    <row r="342" spans="4:22" s="694" customFormat="1" x14ac:dyDescent="0.35">
      <c r="D342" s="702"/>
      <c r="M342" s="703"/>
      <c r="T342" s="699"/>
      <c r="U342" s="699"/>
      <c r="V342" s="699"/>
    </row>
    <row r="343" spans="4:22" s="694" customFormat="1" x14ac:dyDescent="0.35">
      <c r="D343" s="702"/>
      <c r="M343" s="703"/>
      <c r="T343" s="699"/>
      <c r="U343" s="699"/>
      <c r="V343" s="699"/>
    </row>
    <row r="344" spans="4:22" s="694" customFormat="1" x14ac:dyDescent="0.35">
      <c r="D344" s="702"/>
      <c r="M344" s="703"/>
      <c r="T344" s="699"/>
      <c r="U344" s="699"/>
      <c r="V344" s="699"/>
    </row>
    <row r="345" spans="4:22" s="694" customFormat="1" x14ac:dyDescent="0.35">
      <c r="D345" s="702"/>
      <c r="M345" s="703"/>
      <c r="T345" s="699"/>
      <c r="U345" s="699"/>
      <c r="V345" s="699"/>
    </row>
    <row r="346" spans="4:22" s="694" customFormat="1" x14ac:dyDescent="0.35">
      <c r="D346" s="702"/>
      <c r="M346" s="703"/>
      <c r="T346" s="699"/>
      <c r="U346" s="699"/>
      <c r="V346" s="699"/>
    </row>
    <row r="347" spans="4:22" s="694" customFormat="1" x14ac:dyDescent="0.35">
      <c r="D347" s="702"/>
      <c r="M347" s="703"/>
      <c r="T347" s="699"/>
      <c r="U347" s="699"/>
      <c r="V347" s="699"/>
    </row>
    <row r="348" spans="4:22" s="694" customFormat="1" x14ac:dyDescent="0.35">
      <c r="D348" s="702"/>
      <c r="M348" s="703"/>
      <c r="T348" s="699"/>
      <c r="U348" s="699"/>
      <c r="V348" s="699"/>
    </row>
    <row r="349" spans="4:22" s="694" customFormat="1" x14ac:dyDescent="0.35">
      <c r="D349" s="702"/>
      <c r="M349" s="703"/>
      <c r="T349" s="699"/>
      <c r="U349" s="699"/>
      <c r="V349" s="699"/>
    </row>
    <row r="350" spans="4:22" s="694" customFormat="1" x14ac:dyDescent="0.35">
      <c r="D350" s="702"/>
      <c r="M350" s="703"/>
      <c r="T350" s="699"/>
      <c r="U350" s="699"/>
      <c r="V350" s="699"/>
    </row>
    <row r="351" spans="4:22" s="694" customFormat="1" x14ac:dyDescent="0.35">
      <c r="D351" s="702"/>
      <c r="M351" s="703"/>
      <c r="T351" s="699"/>
      <c r="U351" s="699"/>
      <c r="V351" s="699"/>
    </row>
    <row r="352" spans="4:22" s="694" customFormat="1" x14ac:dyDescent="0.35">
      <c r="D352" s="702"/>
      <c r="M352" s="703"/>
      <c r="T352" s="699"/>
      <c r="U352" s="699"/>
      <c r="V352" s="699"/>
    </row>
    <row r="353" spans="4:22" s="694" customFormat="1" x14ac:dyDescent="0.35">
      <c r="D353" s="702"/>
      <c r="M353" s="703"/>
      <c r="T353" s="699"/>
      <c r="U353" s="699"/>
      <c r="V353" s="699"/>
    </row>
    <row r="354" spans="4:22" s="694" customFormat="1" x14ac:dyDescent="0.35">
      <c r="D354" s="702"/>
      <c r="M354" s="703"/>
      <c r="T354" s="699"/>
      <c r="U354" s="699"/>
      <c r="V354" s="699"/>
    </row>
    <row r="355" spans="4:22" s="694" customFormat="1" x14ac:dyDescent="0.35">
      <c r="D355" s="702"/>
      <c r="M355" s="703"/>
      <c r="T355" s="699"/>
      <c r="U355" s="699"/>
      <c r="V355" s="699"/>
    </row>
    <row r="356" spans="4:22" s="694" customFormat="1" x14ac:dyDescent="0.35">
      <c r="D356" s="702"/>
      <c r="M356" s="703"/>
      <c r="T356" s="699"/>
      <c r="U356" s="699"/>
      <c r="V356" s="699"/>
    </row>
    <row r="357" spans="4:22" s="694" customFormat="1" x14ac:dyDescent="0.35">
      <c r="D357" s="702"/>
      <c r="M357" s="703"/>
      <c r="T357" s="699"/>
      <c r="U357" s="699"/>
      <c r="V357" s="699"/>
    </row>
    <row r="358" spans="4:22" s="694" customFormat="1" x14ac:dyDescent="0.35">
      <c r="D358" s="702"/>
      <c r="M358" s="703"/>
      <c r="T358" s="699"/>
      <c r="U358" s="699"/>
      <c r="V358" s="699"/>
    </row>
    <row r="359" spans="4:22" s="694" customFormat="1" x14ac:dyDescent="0.35">
      <c r="D359" s="702"/>
      <c r="M359" s="703"/>
      <c r="T359" s="699"/>
      <c r="U359" s="699"/>
      <c r="V359" s="699"/>
    </row>
    <row r="360" spans="4:22" s="694" customFormat="1" x14ac:dyDescent="0.35">
      <c r="D360" s="702"/>
      <c r="M360" s="703"/>
      <c r="T360" s="699"/>
      <c r="U360" s="699"/>
      <c r="V360" s="699"/>
    </row>
    <row r="361" spans="4:22" s="694" customFormat="1" x14ac:dyDescent="0.35">
      <c r="D361" s="702"/>
      <c r="M361" s="703"/>
      <c r="T361" s="699"/>
      <c r="U361" s="699"/>
      <c r="V361" s="699"/>
    </row>
    <row r="362" spans="4:22" s="694" customFormat="1" x14ac:dyDescent="0.35">
      <c r="D362" s="702"/>
      <c r="M362" s="703"/>
      <c r="T362" s="699"/>
      <c r="U362" s="699"/>
      <c r="V362" s="699"/>
    </row>
    <row r="363" spans="4:22" s="694" customFormat="1" x14ac:dyDescent="0.35">
      <c r="D363" s="702"/>
      <c r="M363" s="703"/>
      <c r="T363" s="699"/>
      <c r="U363" s="699"/>
      <c r="V363" s="699"/>
    </row>
    <row r="364" spans="4:22" s="694" customFormat="1" x14ac:dyDescent="0.35">
      <c r="D364" s="702"/>
      <c r="M364" s="703"/>
      <c r="T364" s="699"/>
      <c r="U364" s="699"/>
      <c r="V364" s="699"/>
    </row>
    <row r="365" spans="4:22" s="694" customFormat="1" x14ac:dyDescent="0.35">
      <c r="D365" s="702"/>
      <c r="M365" s="703"/>
      <c r="T365" s="699"/>
      <c r="U365" s="699"/>
      <c r="V365" s="699"/>
    </row>
    <row r="366" spans="4:22" s="694" customFormat="1" x14ac:dyDescent="0.35">
      <c r="D366" s="702"/>
      <c r="M366" s="703"/>
      <c r="T366" s="699"/>
      <c r="U366" s="699"/>
      <c r="V366" s="699"/>
    </row>
    <row r="367" spans="4:22" s="694" customFormat="1" x14ac:dyDescent="0.35">
      <c r="D367" s="702"/>
      <c r="M367" s="703"/>
      <c r="T367" s="699"/>
      <c r="U367" s="699"/>
      <c r="V367" s="699"/>
    </row>
    <row r="368" spans="4:22" s="694" customFormat="1" x14ac:dyDescent="0.35">
      <c r="D368" s="702"/>
      <c r="M368" s="703"/>
      <c r="T368" s="699"/>
      <c r="U368" s="699"/>
      <c r="V368" s="699"/>
    </row>
    <row r="369" spans="4:22" s="694" customFormat="1" x14ac:dyDescent="0.35">
      <c r="D369" s="702"/>
      <c r="M369" s="703"/>
      <c r="T369" s="699"/>
      <c r="U369" s="699"/>
      <c r="V369" s="699"/>
    </row>
    <row r="370" spans="4:22" s="694" customFormat="1" x14ac:dyDescent="0.35">
      <c r="D370" s="702"/>
      <c r="M370" s="703"/>
      <c r="T370" s="699"/>
      <c r="U370" s="699"/>
      <c r="V370" s="699"/>
    </row>
    <row r="371" spans="4:22" s="694" customFormat="1" x14ac:dyDescent="0.35">
      <c r="D371" s="702"/>
      <c r="M371" s="703"/>
      <c r="T371" s="699"/>
      <c r="U371" s="699"/>
      <c r="V371" s="699"/>
    </row>
    <row r="372" spans="4:22" s="694" customFormat="1" x14ac:dyDescent="0.35">
      <c r="D372" s="702"/>
      <c r="M372" s="703"/>
      <c r="T372" s="699"/>
      <c r="U372" s="699"/>
      <c r="V372" s="699"/>
    </row>
    <row r="373" spans="4:22" s="694" customFormat="1" x14ac:dyDescent="0.35">
      <c r="D373" s="702"/>
      <c r="M373" s="703"/>
      <c r="T373" s="699"/>
      <c r="U373" s="699"/>
      <c r="V373" s="699"/>
    </row>
    <row r="374" spans="4:22" s="694" customFormat="1" x14ac:dyDescent="0.35">
      <c r="D374" s="702"/>
      <c r="M374" s="703"/>
      <c r="T374" s="699"/>
      <c r="U374" s="699"/>
      <c r="V374" s="699"/>
    </row>
    <row r="375" spans="4:22" s="694" customFormat="1" x14ac:dyDescent="0.35">
      <c r="D375" s="702"/>
      <c r="M375" s="703"/>
      <c r="T375" s="699"/>
      <c r="U375" s="699"/>
      <c r="V375" s="699"/>
    </row>
    <row r="376" spans="4:22" s="694" customFormat="1" x14ac:dyDescent="0.35">
      <c r="D376" s="702"/>
      <c r="M376" s="703"/>
      <c r="T376" s="699"/>
      <c r="U376" s="699"/>
      <c r="V376" s="699"/>
    </row>
    <row r="377" spans="4:22" s="694" customFormat="1" x14ac:dyDescent="0.35">
      <c r="D377" s="702"/>
      <c r="M377" s="703"/>
      <c r="T377" s="699"/>
      <c r="U377" s="699"/>
      <c r="V377" s="699"/>
    </row>
    <row r="378" spans="4:22" s="694" customFormat="1" x14ac:dyDescent="0.35">
      <c r="D378" s="702"/>
      <c r="M378" s="703"/>
      <c r="T378" s="699"/>
      <c r="U378" s="699"/>
      <c r="V378" s="699"/>
    </row>
    <row r="379" spans="4:22" s="694" customFormat="1" x14ac:dyDescent="0.35">
      <c r="D379" s="702"/>
      <c r="M379" s="703"/>
      <c r="T379" s="699"/>
      <c r="U379" s="699"/>
      <c r="V379" s="699"/>
    </row>
    <row r="380" spans="4:22" s="694" customFormat="1" x14ac:dyDescent="0.35">
      <c r="D380" s="702"/>
      <c r="M380" s="703"/>
      <c r="T380" s="699"/>
      <c r="U380" s="699"/>
      <c r="V380" s="699"/>
    </row>
    <row r="381" spans="4:22" s="694" customFormat="1" x14ac:dyDescent="0.35">
      <c r="D381" s="702"/>
      <c r="M381" s="703"/>
      <c r="T381" s="699"/>
      <c r="U381" s="699"/>
      <c r="V381" s="699"/>
    </row>
    <row r="382" spans="4:22" s="694" customFormat="1" x14ac:dyDescent="0.35">
      <c r="D382" s="702"/>
      <c r="M382" s="703"/>
      <c r="T382" s="699"/>
      <c r="U382" s="699"/>
      <c r="V382" s="699"/>
    </row>
    <row r="383" spans="4:22" s="694" customFormat="1" x14ac:dyDescent="0.35">
      <c r="D383" s="702"/>
      <c r="M383" s="703"/>
      <c r="T383" s="699"/>
      <c r="U383" s="699"/>
      <c r="V383" s="699"/>
    </row>
    <row r="384" spans="4:22" s="694" customFormat="1" x14ac:dyDescent="0.35">
      <c r="D384" s="702"/>
      <c r="M384" s="703"/>
      <c r="T384" s="699"/>
      <c r="U384" s="699"/>
      <c r="V384" s="699"/>
    </row>
    <row r="385" spans="4:22" s="694" customFormat="1" x14ac:dyDescent="0.35">
      <c r="D385" s="702"/>
      <c r="M385" s="703"/>
      <c r="T385" s="699"/>
      <c r="U385" s="699"/>
      <c r="V385" s="699"/>
    </row>
    <row r="386" spans="4:22" s="694" customFormat="1" x14ac:dyDescent="0.35">
      <c r="D386" s="702"/>
      <c r="M386" s="703"/>
      <c r="T386" s="699"/>
      <c r="U386" s="699"/>
      <c r="V386" s="699"/>
    </row>
    <row r="387" spans="4:22" s="694" customFormat="1" x14ac:dyDescent="0.35">
      <c r="D387" s="702"/>
      <c r="M387" s="703"/>
      <c r="T387" s="699"/>
      <c r="U387" s="699"/>
      <c r="V387" s="699"/>
    </row>
    <row r="388" spans="4:22" s="694" customFormat="1" x14ac:dyDescent="0.35">
      <c r="D388" s="702"/>
      <c r="M388" s="703"/>
      <c r="T388" s="699"/>
      <c r="U388" s="699"/>
      <c r="V388" s="699"/>
    </row>
    <row r="389" spans="4:22" s="694" customFormat="1" x14ac:dyDescent="0.35">
      <c r="D389" s="702"/>
      <c r="M389" s="703"/>
      <c r="T389" s="699"/>
      <c r="U389" s="699"/>
      <c r="V389" s="699"/>
    </row>
    <row r="390" spans="4:22" s="694" customFormat="1" x14ac:dyDescent="0.35">
      <c r="D390" s="702"/>
      <c r="M390" s="703"/>
      <c r="T390" s="699"/>
      <c r="U390" s="699"/>
      <c r="V390" s="699"/>
    </row>
    <row r="391" spans="4:22" s="694" customFormat="1" x14ac:dyDescent="0.35">
      <c r="D391" s="702"/>
      <c r="M391" s="703"/>
      <c r="T391" s="699"/>
      <c r="U391" s="699"/>
      <c r="V391" s="699"/>
    </row>
    <row r="392" spans="4:22" s="694" customFormat="1" x14ac:dyDescent="0.35">
      <c r="D392" s="702"/>
      <c r="M392" s="703"/>
      <c r="T392" s="699"/>
      <c r="U392" s="699"/>
      <c r="V392" s="699"/>
    </row>
    <row r="393" spans="4:22" s="694" customFormat="1" x14ac:dyDescent="0.35">
      <c r="D393" s="702"/>
      <c r="M393" s="703"/>
      <c r="T393" s="699"/>
      <c r="U393" s="699"/>
      <c r="V393" s="699"/>
    </row>
    <row r="394" spans="4:22" s="694" customFormat="1" x14ac:dyDescent="0.35">
      <c r="D394" s="702"/>
      <c r="M394" s="703"/>
      <c r="T394" s="699"/>
      <c r="U394" s="699"/>
      <c r="V394" s="699"/>
    </row>
    <row r="395" spans="4:22" s="694" customFormat="1" x14ac:dyDescent="0.35">
      <c r="D395" s="702"/>
      <c r="M395" s="703"/>
      <c r="T395" s="699"/>
      <c r="U395" s="699"/>
      <c r="V395" s="699"/>
    </row>
    <row r="396" spans="4:22" s="694" customFormat="1" x14ac:dyDescent="0.35">
      <c r="D396" s="702"/>
      <c r="M396" s="703"/>
      <c r="T396" s="699"/>
      <c r="U396" s="699"/>
      <c r="V396" s="699"/>
    </row>
    <row r="397" spans="4:22" s="694" customFormat="1" x14ac:dyDescent="0.35">
      <c r="D397" s="702"/>
      <c r="M397" s="703"/>
      <c r="T397" s="699"/>
      <c r="U397" s="699"/>
      <c r="V397" s="699"/>
    </row>
    <row r="398" spans="4:22" s="694" customFormat="1" x14ac:dyDescent="0.35">
      <c r="D398" s="702"/>
      <c r="M398" s="703"/>
      <c r="T398" s="699"/>
      <c r="U398" s="699"/>
      <c r="V398" s="699"/>
    </row>
    <row r="399" spans="4:22" s="694" customFormat="1" x14ac:dyDescent="0.35">
      <c r="D399" s="702"/>
      <c r="M399" s="703"/>
      <c r="T399" s="699"/>
      <c r="U399" s="699"/>
      <c r="V399" s="699"/>
    </row>
    <row r="400" spans="4:22" s="694" customFormat="1" x14ac:dyDescent="0.35">
      <c r="D400" s="702"/>
      <c r="M400" s="703"/>
      <c r="T400" s="699"/>
      <c r="U400" s="699"/>
      <c r="V400" s="699"/>
    </row>
    <row r="401" spans="4:22" s="694" customFormat="1" x14ac:dyDescent="0.35">
      <c r="D401" s="702"/>
      <c r="M401" s="703"/>
      <c r="T401" s="699"/>
      <c r="U401" s="699"/>
      <c r="V401" s="699"/>
    </row>
    <row r="402" spans="4:22" s="694" customFormat="1" x14ac:dyDescent="0.35">
      <c r="D402" s="702"/>
      <c r="M402" s="703"/>
      <c r="T402" s="699"/>
      <c r="U402" s="699"/>
      <c r="V402" s="699"/>
    </row>
    <row r="403" spans="4:22" s="694" customFormat="1" x14ac:dyDescent="0.35">
      <c r="D403" s="702"/>
      <c r="M403" s="703"/>
      <c r="T403" s="699"/>
      <c r="U403" s="699"/>
      <c r="V403" s="699"/>
    </row>
    <row r="404" spans="4:22" s="694" customFormat="1" x14ac:dyDescent="0.35">
      <c r="D404" s="702"/>
      <c r="M404" s="703"/>
      <c r="T404" s="699"/>
      <c r="U404" s="699"/>
      <c r="V404" s="699"/>
    </row>
    <row r="405" spans="4:22" s="694" customFormat="1" x14ac:dyDescent="0.35">
      <c r="D405" s="702"/>
      <c r="M405" s="703"/>
      <c r="T405" s="699"/>
      <c r="U405" s="699"/>
      <c r="V405" s="699"/>
    </row>
    <row r="406" spans="4:22" s="694" customFormat="1" x14ac:dyDescent="0.35">
      <c r="D406" s="702"/>
      <c r="M406" s="703"/>
      <c r="T406" s="699"/>
      <c r="U406" s="699"/>
      <c r="V406" s="699"/>
    </row>
    <row r="407" spans="4:22" s="694" customFormat="1" x14ac:dyDescent="0.35">
      <c r="D407" s="702"/>
      <c r="M407" s="703"/>
      <c r="T407" s="699"/>
      <c r="U407" s="699"/>
      <c r="V407" s="699"/>
    </row>
    <row r="408" spans="4:22" s="694" customFormat="1" x14ac:dyDescent="0.35">
      <c r="D408" s="702"/>
      <c r="M408" s="703"/>
      <c r="T408" s="699"/>
      <c r="U408" s="699"/>
      <c r="V408" s="699"/>
    </row>
    <row r="409" spans="4:22" s="694" customFormat="1" x14ac:dyDescent="0.35">
      <c r="D409" s="702"/>
      <c r="M409" s="703"/>
      <c r="T409" s="699"/>
      <c r="U409" s="699"/>
      <c r="V409" s="699"/>
    </row>
    <row r="410" spans="4:22" s="694" customFormat="1" x14ac:dyDescent="0.35">
      <c r="D410" s="702"/>
      <c r="M410" s="703"/>
      <c r="T410" s="699"/>
      <c r="U410" s="699"/>
      <c r="V410" s="699"/>
    </row>
    <row r="411" spans="4:22" s="694" customFormat="1" x14ac:dyDescent="0.35">
      <c r="D411" s="702"/>
      <c r="M411" s="703"/>
      <c r="T411" s="699"/>
      <c r="U411" s="699"/>
      <c r="V411" s="699"/>
    </row>
    <row r="412" spans="4:22" s="694" customFormat="1" x14ac:dyDescent="0.35">
      <c r="D412" s="702"/>
      <c r="M412" s="703"/>
      <c r="T412" s="699"/>
      <c r="U412" s="699"/>
      <c r="V412" s="699"/>
    </row>
    <row r="413" spans="4:22" s="694" customFormat="1" x14ac:dyDescent="0.35">
      <c r="D413" s="702"/>
      <c r="M413" s="703"/>
      <c r="T413" s="699"/>
      <c r="U413" s="699"/>
      <c r="V413" s="699"/>
    </row>
    <row r="414" spans="4:22" s="694" customFormat="1" x14ac:dyDescent="0.35">
      <c r="D414" s="702"/>
      <c r="M414" s="703"/>
      <c r="T414" s="699"/>
      <c r="U414" s="699"/>
      <c r="V414" s="699"/>
    </row>
    <row r="415" spans="4:22" s="694" customFormat="1" x14ac:dyDescent="0.35">
      <c r="D415" s="702"/>
      <c r="M415" s="703"/>
      <c r="T415" s="699"/>
      <c r="U415" s="699"/>
      <c r="V415" s="699"/>
    </row>
    <row r="416" spans="4:22" s="694" customFormat="1" x14ac:dyDescent="0.35">
      <c r="D416" s="702"/>
      <c r="M416" s="703"/>
      <c r="T416" s="699"/>
      <c r="U416" s="699"/>
      <c r="V416" s="699"/>
    </row>
    <row r="417" spans="4:22" s="694" customFormat="1" x14ac:dyDescent="0.35">
      <c r="D417" s="702"/>
      <c r="M417" s="703"/>
      <c r="T417" s="699"/>
      <c r="U417" s="699"/>
      <c r="V417" s="699"/>
    </row>
    <row r="418" spans="4:22" s="694" customFormat="1" x14ac:dyDescent="0.35">
      <c r="D418" s="702"/>
      <c r="M418" s="703"/>
      <c r="T418" s="699"/>
      <c r="U418" s="699"/>
      <c r="V418" s="699"/>
    </row>
    <row r="419" spans="4:22" s="694" customFormat="1" x14ac:dyDescent="0.35">
      <c r="D419" s="702"/>
      <c r="M419" s="703"/>
      <c r="T419" s="699"/>
      <c r="U419" s="699"/>
      <c r="V419" s="699"/>
    </row>
    <row r="420" spans="4:22" s="694" customFormat="1" x14ac:dyDescent="0.35">
      <c r="D420" s="702"/>
      <c r="M420" s="703"/>
      <c r="T420" s="699"/>
      <c r="U420" s="699"/>
      <c r="V420" s="699"/>
    </row>
    <row r="421" spans="4:22" s="694" customFormat="1" x14ac:dyDescent="0.35">
      <c r="D421" s="702"/>
      <c r="M421" s="703"/>
      <c r="T421" s="699"/>
      <c r="U421" s="699"/>
      <c r="V421" s="699"/>
    </row>
    <row r="422" spans="4:22" s="694" customFormat="1" x14ac:dyDescent="0.35">
      <c r="D422" s="702"/>
      <c r="M422" s="703"/>
      <c r="T422" s="699"/>
      <c r="U422" s="699"/>
      <c r="V422" s="699"/>
    </row>
    <row r="423" spans="4:22" s="694" customFormat="1" x14ac:dyDescent="0.35">
      <c r="D423" s="702"/>
      <c r="M423" s="703"/>
      <c r="T423" s="699"/>
      <c r="U423" s="699"/>
      <c r="V423" s="699"/>
    </row>
    <row r="424" spans="4:22" s="694" customFormat="1" x14ac:dyDescent="0.35">
      <c r="D424" s="702"/>
      <c r="M424" s="703"/>
      <c r="T424" s="699"/>
      <c r="U424" s="699"/>
      <c r="V424" s="699"/>
    </row>
    <row r="425" spans="4:22" s="694" customFormat="1" x14ac:dyDescent="0.35">
      <c r="D425" s="702"/>
      <c r="M425" s="703"/>
      <c r="T425" s="699"/>
      <c r="U425" s="699"/>
      <c r="V425" s="699"/>
    </row>
    <row r="426" spans="4:22" s="694" customFormat="1" x14ac:dyDescent="0.35">
      <c r="D426" s="702"/>
      <c r="M426" s="703"/>
      <c r="T426" s="699"/>
      <c r="U426" s="699"/>
      <c r="V426" s="699"/>
    </row>
    <row r="427" spans="4:22" s="694" customFormat="1" x14ac:dyDescent="0.35">
      <c r="D427" s="702"/>
      <c r="M427" s="703"/>
      <c r="T427" s="699"/>
      <c r="U427" s="699"/>
      <c r="V427" s="699"/>
    </row>
    <row r="428" spans="4:22" s="694" customFormat="1" x14ac:dyDescent="0.35">
      <c r="D428" s="702"/>
      <c r="M428" s="703"/>
      <c r="T428" s="699"/>
      <c r="U428" s="699"/>
      <c r="V428" s="699"/>
    </row>
    <row r="429" spans="4:22" s="694" customFormat="1" x14ac:dyDescent="0.35">
      <c r="D429" s="702"/>
      <c r="M429" s="703"/>
      <c r="T429" s="699"/>
      <c r="U429" s="699"/>
      <c r="V429" s="699"/>
    </row>
    <row r="430" spans="4:22" s="694" customFormat="1" x14ac:dyDescent="0.35">
      <c r="D430" s="702"/>
      <c r="M430" s="703"/>
      <c r="T430" s="699"/>
      <c r="U430" s="699"/>
      <c r="V430" s="699"/>
    </row>
    <row r="431" spans="4:22" s="694" customFormat="1" x14ac:dyDescent="0.35">
      <c r="D431" s="702"/>
      <c r="M431" s="703"/>
      <c r="T431" s="699"/>
      <c r="U431" s="699"/>
      <c r="V431" s="699"/>
    </row>
    <row r="432" spans="4:22" s="694" customFormat="1" x14ac:dyDescent="0.35">
      <c r="D432" s="702"/>
      <c r="M432" s="703"/>
      <c r="T432" s="699"/>
      <c r="U432" s="699"/>
      <c r="V432" s="699"/>
    </row>
    <row r="433" spans="4:22" s="694" customFormat="1" x14ac:dyDescent="0.35">
      <c r="D433" s="702"/>
      <c r="M433" s="703"/>
      <c r="T433" s="699"/>
      <c r="U433" s="699"/>
      <c r="V433" s="699"/>
    </row>
    <row r="434" spans="4:22" s="694" customFormat="1" x14ac:dyDescent="0.35">
      <c r="D434" s="702"/>
      <c r="M434" s="703"/>
      <c r="T434" s="699"/>
      <c r="U434" s="699"/>
      <c r="V434" s="699"/>
    </row>
    <row r="435" spans="4:22" s="694" customFormat="1" x14ac:dyDescent="0.35">
      <c r="D435" s="702"/>
      <c r="M435" s="703"/>
      <c r="T435" s="699"/>
      <c r="U435" s="699"/>
      <c r="V435" s="699"/>
    </row>
    <row r="436" spans="4:22" s="694" customFormat="1" x14ac:dyDescent="0.35">
      <c r="D436" s="702"/>
      <c r="M436" s="703"/>
      <c r="T436" s="699"/>
      <c r="U436" s="699"/>
      <c r="V436" s="699"/>
    </row>
    <row r="437" spans="4:22" s="694" customFormat="1" x14ac:dyDescent="0.35">
      <c r="D437" s="702"/>
      <c r="M437" s="703"/>
      <c r="T437" s="699"/>
      <c r="U437" s="699"/>
      <c r="V437" s="699"/>
    </row>
    <row r="438" spans="4:22" s="694" customFormat="1" x14ac:dyDescent="0.35">
      <c r="D438" s="702"/>
      <c r="M438" s="703"/>
      <c r="T438" s="699"/>
      <c r="U438" s="699"/>
      <c r="V438" s="699"/>
    </row>
    <row r="439" spans="4:22" s="694" customFormat="1" x14ac:dyDescent="0.35">
      <c r="D439" s="702"/>
      <c r="M439" s="703"/>
      <c r="T439" s="699"/>
      <c r="U439" s="699"/>
      <c r="V439" s="699"/>
    </row>
    <row r="440" spans="4:22" s="694" customFormat="1" x14ac:dyDescent="0.35">
      <c r="D440" s="702"/>
      <c r="M440" s="703"/>
      <c r="T440" s="699"/>
      <c r="U440" s="699"/>
      <c r="V440" s="699"/>
    </row>
    <row r="441" spans="4:22" s="694" customFormat="1" x14ac:dyDescent="0.35">
      <c r="D441" s="702"/>
      <c r="M441" s="703"/>
      <c r="T441" s="699"/>
      <c r="U441" s="699"/>
      <c r="V441" s="699"/>
    </row>
    <row r="442" spans="4:22" s="694" customFormat="1" x14ac:dyDescent="0.35">
      <c r="D442" s="702"/>
      <c r="M442" s="703"/>
      <c r="T442" s="699"/>
      <c r="U442" s="699"/>
      <c r="V442" s="699"/>
    </row>
    <row r="443" spans="4:22" s="694" customFormat="1" x14ac:dyDescent="0.35">
      <c r="D443" s="702"/>
      <c r="M443" s="703"/>
      <c r="T443" s="699"/>
      <c r="U443" s="699"/>
      <c r="V443" s="699"/>
    </row>
    <row r="444" spans="4:22" s="694" customFormat="1" x14ac:dyDescent="0.35">
      <c r="D444" s="702"/>
      <c r="M444" s="703"/>
      <c r="T444" s="699"/>
      <c r="U444" s="699"/>
      <c r="V444" s="699"/>
    </row>
    <row r="445" spans="4:22" s="694" customFormat="1" x14ac:dyDescent="0.35">
      <c r="D445" s="702"/>
      <c r="M445" s="703"/>
      <c r="T445" s="699"/>
      <c r="U445" s="699"/>
      <c r="V445" s="699"/>
    </row>
    <row r="446" spans="4:22" s="694" customFormat="1" x14ac:dyDescent="0.35">
      <c r="D446" s="702"/>
      <c r="M446" s="703"/>
      <c r="T446" s="699"/>
      <c r="U446" s="699"/>
      <c r="V446" s="699"/>
    </row>
    <row r="447" spans="4:22" s="694" customFormat="1" x14ac:dyDescent="0.35">
      <c r="D447" s="702"/>
      <c r="M447" s="703"/>
      <c r="T447" s="699"/>
      <c r="U447" s="699"/>
      <c r="V447" s="699"/>
    </row>
    <row r="448" spans="4:22" s="694" customFormat="1" x14ac:dyDescent="0.35">
      <c r="D448" s="702"/>
      <c r="M448" s="703"/>
      <c r="T448" s="699"/>
      <c r="U448" s="699"/>
      <c r="V448" s="699"/>
    </row>
    <row r="449" spans="4:22" s="694" customFormat="1" x14ac:dyDescent="0.35">
      <c r="D449" s="702"/>
      <c r="M449" s="703"/>
      <c r="T449" s="699"/>
      <c r="U449" s="699"/>
      <c r="V449" s="699"/>
    </row>
    <row r="450" spans="4:22" s="694" customFormat="1" x14ac:dyDescent="0.35">
      <c r="D450" s="702"/>
      <c r="M450" s="703"/>
      <c r="T450" s="699"/>
      <c r="U450" s="699"/>
      <c r="V450" s="699"/>
    </row>
    <row r="451" spans="4:22" s="694" customFormat="1" x14ac:dyDescent="0.35">
      <c r="D451" s="702"/>
      <c r="M451" s="703"/>
      <c r="T451" s="699"/>
      <c r="U451" s="699"/>
      <c r="V451" s="699"/>
    </row>
    <row r="452" spans="4:22" s="694" customFormat="1" x14ac:dyDescent="0.35">
      <c r="D452" s="702"/>
      <c r="M452" s="703"/>
      <c r="T452" s="699"/>
      <c r="U452" s="699"/>
      <c r="V452" s="699"/>
    </row>
    <row r="453" spans="4:22" s="694" customFormat="1" x14ac:dyDescent="0.35">
      <c r="D453" s="702"/>
      <c r="M453" s="703"/>
      <c r="T453" s="699"/>
      <c r="U453" s="699"/>
      <c r="V453" s="699"/>
    </row>
    <row r="454" spans="4:22" s="694" customFormat="1" x14ac:dyDescent="0.35">
      <c r="D454" s="702"/>
      <c r="M454" s="703"/>
      <c r="T454" s="699"/>
      <c r="U454" s="699"/>
      <c r="V454" s="699"/>
    </row>
    <row r="455" spans="4:22" s="694" customFormat="1" x14ac:dyDescent="0.35">
      <c r="D455" s="702"/>
      <c r="M455" s="703"/>
      <c r="T455" s="699"/>
      <c r="U455" s="699"/>
      <c r="V455" s="699"/>
    </row>
    <row r="456" spans="4:22" s="694" customFormat="1" x14ac:dyDescent="0.35">
      <c r="D456" s="702"/>
      <c r="M456" s="703"/>
      <c r="T456" s="699"/>
      <c r="U456" s="699"/>
      <c r="V456" s="699"/>
    </row>
    <row r="457" spans="4:22" s="694" customFormat="1" x14ac:dyDescent="0.35">
      <c r="D457" s="702"/>
      <c r="M457" s="703"/>
      <c r="T457" s="699"/>
      <c r="U457" s="699"/>
      <c r="V457" s="699"/>
    </row>
    <row r="458" spans="4:22" s="694" customFormat="1" x14ac:dyDescent="0.35">
      <c r="D458" s="702"/>
      <c r="M458" s="703"/>
      <c r="T458" s="699"/>
      <c r="U458" s="699"/>
      <c r="V458" s="699"/>
    </row>
    <row r="459" spans="4:22" s="694" customFormat="1" x14ac:dyDescent="0.35">
      <c r="D459" s="702"/>
      <c r="M459" s="703"/>
      <c r="T459" s="699"/>
      <c r="U459" s="699"/>
      <c r="V459" s="699"/>
    </row>
    <row r="460" spans="4:22" s="694" customFormat="1" x14ac:dyDescent="0.35">
      <c r="D460" s="702"/>
      <c r="M460" s="703"/>
      <c r="T460" s="699"/>
      <c r="U460" s="699"/>
      <c r="V460" s="699"/>
    </row>
    <row r="461" spans="4:22" s="694" customFormat="1" x14ac:dyDescent="0.35">
      <c r="D461" s="702"/>
      <c r="M461" s="703"/>
      <c r="T461" s="699"/>
      <c r="U461" s="699"/>
      <c r="V461" s="699"/>
    </row>
    <row r="462" spans="4:22" s="694" customFormat="1" x14ac:dyDescent="0.35">
      <c r="D462" s="702"/>
      <c r="M462" s="703"/>
      <c r="T462" s="699"/>
      <c r="U462" s="699"/>
      <c r="V462" s="699"/>
    </row>
    <row r="463" spans="4:22" s="694" customFormat="1" x14ac:dyDescent="0.35">
      <c r="D463" s="702"/>
      <c r="M463" s="703"/>
      <c r="T463" s="699"/>
      <c r="U463" s="699"/>
      <c r="V463" s="699"/>
    </row>
    <row r="464" spans="4:22" s="694" customFormat="1" x14ac:dyDescent="0.35">
      <c r="D464" s="702"/>
      <c r="M464" s="703"/>
      <c r="T464" s="699"/>
      <c r="U464" s="699"/>
      <c r="V464" s="699"/>
    </row>
    <row r="465" spans="4:22" s="694" customFormat="1" x14ac:dyDescent="0.35">
      <c r="D465" s="702"/>
      <c r="M465" s="703"/>
      <c r="T465" s="699"/>
      <c r="U465" s="699"/>
      <c r="V465" s="699"/>
    </row>
    <row r="466" spans="4:22" s="694" customFormat="1" x14ac:dyDescent="0.35">
      <c r="D466" s="702"/>
      <c r="M466" s="703"/>
      <c r="T466" s="699"/>
      <c r="U466" s="699"/>
      <c r="V466" s="699"/>
    </row>
    <row r="467" spans="4:22" s="694" customFormat="1" x14ac:dyDescent="0.35">
      <c r="D467" s="702"/>
      <c r="M467" s="703"/>
      <c r="T467" s="699"/>
      <c r="U467" s="699"/>
      <c r="V467" s="699"/>
    </row>
    <row r="468" spans="4:22" s="694" customFormat="1" x14ac:dyDescent="0.35">
      <c r="D468" s="702"/>
      <c r="M468" s="703"/>
      <c r="T468" s="699"/>
      <c r="U468" s="699"/>
      <c r="V468" s="699"/>
    </row>
    <row r="469" spans="4:22" s="694" customFormat="1" x14ac:dyDescent="0.35">
      <c r="D469" s="702"/>
      <c r="M469" s="703"/>
      <c r="T469" s="699"/>
      <c r="U469" s="699"/>
      <c r="V469" s="699"/>
    </row>
    <row r="470" spans="4:22" s="694" customFormat="1" x14ac:dyDescent="0.35">
      <c r="D470" s="702"/>
      <c r="M470" s="703"/>
      <c r="T470" s="699"/>
      <c r="U470" s="699"/>
      <c r="V470" s="699"/>
    </row>
    <row r="471" spans="4:22" s="694" customFormat="1" x14ac:dyDescent="0.35">
      <c r="D471" s="702"/>
      <c r="M471" s="703"/>
      <c r="T471" s="699"/>
      <c r="U471" s="699"/>
      <c r="V471" s="699"/>
    </row>
    <row r="472" spans="4:22" s="694" customFormat="1" x14ac:dyDescent="0.35">
      <c r="D472" s="702"/>
      <c r="M472" s="703"/>
      <c r="T472" s="699"/>
      <c r="U472" s="699"/>
      <c r="V472" s="699"/>
    </row>
    <row r="473" spans="4:22" s="694" customFormat="1" x14ac:dyDescent="0.35">
      <c r="D473" s="702"/>
      <c r="M473" s="703"/>
      <c r="T473" s="699"/>
      <c r="U473" s="699"/>
      <c r="V473" s="699"/>
    </row>
    <row r="474" spans="4:22" s="694" customFormat="1" x14ac:dyDescent="0.35">
      <c r="D474" s="702"/>
      <c r="M474" s="703"/>
      <c r="T474" s="699"/>
      <c r="U474" s="699"/>
      <c r="V474" s="699"/>
    </row>
    <row r="475" spans="4:22" s="694" customFormat="1" x14ac:dyDescent="0.35">
      <c r="D475" s="702"/>
      <c r="M475" s="703"/>
      <c r="T475" s="699"/>
      <c r="U475" s="699"/>
      <c r="V475" s="699"/>
    </row>
    <row r="476" spans="4:22" s="694" customFormat="1" x14ac:dyDescent="0.35">
      <c r="D476" s="702"/>
      <c r="M476" s="703"/>
      <c r="T476" s="699"/>
      <c r="U476" s="699"/>
      <c r="V476" s="699"/>
    </row>
    <row r="477" spans="4:22" s="694" customFormat="1" x14ac:dyDescent="0.35">
      <c r="D477" s="702"/>
      <c r="M477" s="703"/>
      <c r="T477" s="699"/>
      <c r="U477" s="699"/>
      <c r="V477" s="699"/>
    </row>
    <row r="478" spans="4:22" s="694" customFormat="1" x14ac:dyDescent="0.35">
      <c r="D478" s="702"/>
      <c r="M478" s="703"/>
      <c r="T478" s="699"/>
      <c r="U478" s="699"/>
      <c r="V478" s="699"/>
    </row>
    <row r="479" spans="4:22" s="694" customFormat="1" x14ac:dyDescent="0.35">
      <c r="D479" s="702"/>
      <c r="M479" s="703"/>
      <c r="T479" s="699"/>
      <c r="U479" s="699"/>
      <c r="V479" s="699"/>
    </row>
    <row r="480" spans="4:22" s="694" customFormat="1" x14ac:dyDescent="0.35">
      <c r="D480" s="702"/>
      <c r="M480" s="703"/>
      <c r="T480" s="699"/>
      <c r="U480" s="699"/>
      <c r="V480" s="699"/>
    </row>
    <row r="481" spans="4:22" s="694" customFormat="1" x14ac:dyDescent="0.35">
      <c r="D481" s="702"/>
      <c r="M481" s="703"/>
      <c r="T481" s="699"/>
      <c r="U481" s="699"/>
      <c r="V481" s="699"/>
    </row>
    <row r="482" spans="4:22" s="694" customFormat="1" x14ac:dyDescent="0.35">
      <c r="D482" s="702"/>
      <c r="M482" s="703"/>
      <c r="T482" s="699"/>
      <c r="U482" s="699"/>
      <c r="V482" s="699"/>
    </row>
    <row r="483" spans="4:22" s="694" customFormat="1" x14ac:dyDescent="0.35">
      <c r="D483" s="702"/>
      <c r="M483" s="703"/>
      <c r="T483" s="699"/>
      <c r="U483" s="699"/>
      <c r="V483" s="699"/>
    </row>
    <row r="484" spans="4:22" s="694" customFormat="1" x14ac:dyDescent="0.35">
      <c r="D484" s="702"/>
      <c r="M484" s="703"/>
      <c r="T484" s="699"/>
      <c r="U484" s="699"/>
      <c r="V484" s="699"/>
    </row>
    <row r="485" spans="4:22" s="694" customFormat="1" x14ac:dyDescent="0.35">
      <c r="D485" s="702"/>
      <c r="M485" s="703"/>
      <c r="T485" s="699"/>
      <c r="U485" s="699"/>
      <c r="V485" s="699"/>
    </row>
    <row r="486" spans="4:22" s="694" customFormat="1" x14ac:dyDescent="0.35">
      <c r="D486" s="702"/>
      <c r="M486" s="703"/>
      <c r="T486" s="699"/>
      <c r="U486" s="699"/>
      <c r="V486" s="699"/>
    </row>
    <row r="487" spans="4:22" s="694" customFormat="1" x14ac:dyDescent="0.35">
      <c r="D487" s="702"/>
      <c r="M487" s="703"/>
      <c r="T487" s="699"/>
      <c r="U487" s="699"/>
      <c r="V487" s="699"/>
    </row>
    <row r="488" spans="4:22" s="694" customFormat="1" x14ac:dyDescent="0.35">
      <c r="D488" s="702"/>
      <c r="M488" s="703"/>
      <c r="T488" s="699"/>
      <c r="U488" s="699"/>
      <c r="V488" s="699"/>
    </row>
    <row r="489" spans="4:22" s="694" customFormat="1" x14ac:dyDescent="0.35">
      <c r="D489" s="702"/>
      <c r="M489" s="703"/>
      <c r="T489" s="699"/>
      <c r="U489" s="699"/>
      <c r="V489" s="699"/>
    </row>
    <row r="490" spans="4:22" s="694" customFormat="1" x14ac:dyDescent="0.35">
      <c r="D490" s="702"/>
      <c r="M490" s="703"/>
      <c r="T490" s="699"/>
      <c r="U490" s="699"/>
      <c r="V490" s="699"/>
    </row>
    <row r="491" spans="4:22" s="694" customFormat="1" x14ac:dyDescent="0.35">
      <c r="D491" s="702"/>
      <c r="M491" s="703"/>
      <c r="T491" s="699"/>
      <c r="U491" s="699"/>
      <c r="V491" s="699"/>
    </row>
    <row r="492" spans="4:22" s="694" customFormat="1" x14ac:dyDescent="0.35">
      <c r="D492" s="702"/>
      <c r="M492" s="703"/>
      <c r="T492" s="699"/>
      <c r="U492" s="699"/>
      <c r="V492" s="699"/>
    </row>
    <row r="493" spans="4:22" s="694" customFormat="1" x14ac:dyDescent="0.35">
      <c r="D493" s="702"/>
      <c r="M493" s="703"/>
      <c r="T493" s="699"/>
      <c r="U493" s="699"/>
      <c r="V493" s="699"/>
    </row>
    <row r="494" spans="4:22" s="694" customFormat="1" x14ac:dyDescent="0.35">
      <c r="D494" s="702"/>
      <c r="M494" s="703"/>
      <c r="T494" s="699"/>
      <c r="U494" s="699"/>
      <c r="V494" s="699"/>
    </row>
    <row r="495" spans="4:22" s="694" customFormat="1" x14ac:dyDescent="0.35">
      <c r="D495" s="702"/>
      <c r="M495" s="703"/>
      <c r="T495" s="699"/>
      <c r="U495" s="699"/>
      <c r="V495" s="699"/>
    </row>
    <row r="496" spans="4:22" s="694" customFormat="1" x14ac:dyDescent="0.35">
      <c r="D496" s="702"/>
      <c r="M496" s="703"/>
      <c r="T496" s="699"/>
      <c r="U496" s="699"/>
      <c r="V496" s="699"/>
    </row>
    <row r="497" spans="4:22" s="694" customFormat="1" x14ac:dyDescent="0.35">
      <c r="D497" s="702"/>
      <c r="M497" s="703"/>
      <c r="T497" s="699"/>
      <c r="U497" s="699"/>
      <c r="V497" s="699"/>
    </row>
    <row r="498" spans="4:22" s="694" customFormat="1" x14ac:dyDescent="0.35">
      <c r="D498" s="702"/>
      <c r="M498" s="703"/>
      <c r="T498" s="699"/>
      <c r="U498" s="699"/>
      <c r="V498" s="699"/>
    </row>
    <row r="499" spans="4:22" s="694" customFormat="1" x14ac:dyDescent="0.35">
      <c r="D499" s="702"/>
      <c r="M499" s="703"/>
      <c r="T499" s="699"/>
      <c r="U499" s="699"/>
      <c r="V499" s="699"/>
    </row>
    <row r="500" spans="4:22" s="694" customFormat="1" x14ac:dyDescent="0.35">
      <c r="D500" s="702"/>
      <c r="M500" s="703"/>
      <c r="T500" s="699"/>
      <c r="U500" s="699"/>
      <c r="V500" s="699"/>
    </row>
    <row r="501" spans="4:22" s="694" customFormat="1" x14ac:dyDescent="0.35">
      <c r="D501" s="702"/>
      <c r="M501" s="703"/>
      <c r="T501" s="699"/>
      <c r="U501" s="699"/>
      <c r="V501" s="699"/>
    </row>
    <row r="502" spans="4:22" s="694" customFormat="1" x14ac:dyDescent="0.35">
      <c r="D502" s="702"/>
      <c r="M502" s="703"/>
      <c r="T502" s="699"/>
      <c r="U502" s="699"/>
      <c r="V502" s="699"/>
    </row>
    <row r="503" spans="4:22" s="694" customFormat="1" x14ac:dyDescent="0.35">
      <c r="D503" s="702"/>
      <c r="M503" s="703"/>
      <c r="T503" s="699"/>
      <c r="U503" s="699"/>
      <c r="V503" s="699"/>
    </row>
    <row r="504" spans="4:22" s="694" customFormat="1" x14ac:dyDescent="0.35">
      <c r="D504" s="702"/>
      <c r="M504" s="703"/>
      <c r="T504" s="699"/>
      <c r="U504" s="699"/>
      <c r="V504" s="699"/>
    </row>
    <row r="505" spans="4:22" s="694" customFormat="1" x14ac:dyDescent="0.35">
      <c r="D505" s="702"/>
      <c r="M505" s="703"/>
      <c r="T505" s="699"/>
      <c r="U505" s="699"/>
      <c r="V505" s="699"/>
    </row>
    <row r="506" spans="4:22" s="694" customFormat="1" x14ac:dyDescent="0.35">
      <c r="D506" s="702"/>
      <c r="M506" s="703"/>
      <c r="T506" s="699"/>
      <c r="U506" s="699"/>
      <c r="V506" s="699"/>
    </row>
    <row r="507" spans="4:22" s="694" customFormat="1" x14ac:dyDescent="0.35">
      <c r="D507" s="702"/>
      <c r="M507" s="703"/>
      <c r="T507" s="699"/>
      <c r="U507" s="699"/>
      <c r="V507" s="699"/>
    </row>
    <row r="508" spans="4:22" s="694" customFormat="1" x14ac:dyDescent="0.35">
      <c r="D508" s="702"/>
      <c r="M508" s="703"/>
      <c r="T508" s="699"/>
      <c r="U508" s="699"/>
      <c r="V508" s="699"/>
    </row>
    <row r="509" spans="4:22" s="694" customFormat="1" x14ac:dyDescent="0.35">
      <c r="D509" s="702"/>
      <c r="M509" s="703"/>
      <c r="T509" s="699"/>
      <c r="U509" s="699"/>
      <c r="V509" s="699"/>
    </row>
    <row r="510" spans="4:22" s="694" customFormat="1" x14ac:dyDescent="0.35">
      <c r="D510" s="702"/>
      <c r="M510" s="703"/>
      <c r="T510" s="699"/>
      <c r="U510" s="699"/>
      <c r="V510" s="699"/>
    </row>
    <row r="511" spans="4:22" s="694" customFormat="1" x14ac:dyDescent="0.35">
      <c r="D511" s="702"/>
      <c r="M511" s="703"/>
      <c r="T511" s="699"/>
      <c r="U511" s="699"/>
      <c r="V511" s="699"/>
    </row>
    <row r="512" spans="4:22" s="694" customFormat="1" x14ac:dyDescent="0.35">
      <c r="D512" s="702"/>
      <c r="M512" s="703"/>
      <c r="T512" s="699"/>
      <c r="U512" s="699"/>
      <c r="V512" s="699"/>
    </row>
    <row r="513" spans="4:22" s="694" customFormat="1" x14ac:dyDescent="0.35">
      <c r="D513" s="702"/>
      <c r="M513" s="703"/>
      <c r="T513" s="699"/>
      <c r="U513" s="699"/>
      <c r="V513" s="699"/>
    </row>
    <row r="514" spans="4:22" s="694" customFormat="1" x14ac:dyDescent="0.35">
      <c r="D514" s="702"/>
      <c r="M514" s="703"/>
      <c r="T514" s="699"/>
      <c r="U514" s="699"/>
      <c r="V514" s="699"/>
    </row>
    <row r="515" spans="4:22" s="694" customFormat="1" x14ac:dyDescent="0.35">
      <c r="D515" s="702"/>
      <c r="M515" s="703"/>
      <c r="T515" s="699"/>
      <c r="U515" s="699"/>
      <c r="V515" s="699"/>
    </row>
    <row r="516" spans="4:22" s="694" customFormat="1" x14ac:dyDescent="0.35">
      <c r="D516" s="702"/>
      <c r="M516" s="703"/>
      <c r="T516" s="699"/>
      <c r="U516" s="699"/>
      <c r="V516" s="699"/>
    </row>
    <row r="517" spans="4:22" s="694" customFormat="1" x14ac:dyDescent="0.35">
      <c r="D517" s="702"/>
      <c r="M517" s="703"/>
      <c r="T517" s="699"/>
      <c r="U517" s="699"/>
      <c r="V517" s="699"/>
    </row>
    <row r="518" spans="4:22" s="694" customFormat="1" x14ac:dyDescent="0.35">
      <c r="D518" s="702"/>
      <c r="M518" s="703"/>
      <c r="T518" s="699"/>
      <c r="U518" s="699"/>
      <c r="V518" s="699"/>
    </row>
    <row r="519" spans="4:22" s="694" customFormat="1" x14ac:dyDescent="0.35">
      <c r="D519" s="702"/>
      <c r="M519" s="703"/>
      <c r="T519" s="699"/>
      <c r="U519" s="699"/>
      <c r="V519" s="699"/>
    </row>
    <row r="520" spans="4:22" s="694" customFormat="1" x14ac:dyDescent="0.35">
      <c r="D520" s="702"/>
      <c r="M520" s="703"/>
      <c r="T520" s="699"/>
      <c r="U520" s="699"/>
      <c r="V520" s="699"/>
    </row>
    <row r="521" spans="4:22" s="694" customFormat="1" x14ac:dyDescent="0.35">
      <c r="D521" s="702"/>
      <c r="M521" s="703"/>
      <c r="T521" s="699"/>
      <c r="U521" s="699"/>
      <c r="V521" s="699"/>
    </row>
    <row r="522" spans="4:22" s="694" customFormat="1" x14ac:dyDescent="0.35">
      <c r="D522" s="702"/>
      <c r="M522" s="703"/>
      <c r="T522" s="699"/>
      <c r="U522" s="699"/>
      <c r="V522" s="699"/>
    </row>
    <row r="523" spans="4:22" s="694" customFormat="1" x14ac:dyDescent="0.35">
      <c r="D523" s="702"/>
      <c r="M523" s="703"/>
      <c r="T523" s="699"/>
      <c r="U523" s="699"/>
      <c r="V523" s="699"/>
    </row>
    <row r="524" spans="4:22" s="694" customFormat="1" x14ac:dyDescent="0.35">
      <c r="D524" s="702"/>
      <c r="M524" s="703"/>
      <c r="T524" s="699"/>
      <c r="U524" s="699"/>
      <c r="V524" s="699"/>
    </row>
    <row r="525" spans="4:22" s="694" customFormat="1" x14ac:dyDescent="0.35">
      <c r="D525" s="702"/>
      <c r="M525" s="703"/>
      <c r="T525" s="699"/>
      <c r="U525" s="699"/>
      <c r="V525" s="699"/>
    </row>
    <row r="526" spans="4:22" s="694" customFormat="1" x14ac:dyDescent="0.35">
      <c r="D526" s="702"/>
      <c r="M526" s="703"/>
      <c r="T526" s="699"/>
      <c r="U526" s="699"/>
      <c r="V526" s="699"/>
    </row>
    <row r="527" spans="4:22" s="694" customFormat="1" x14ac:dyDescent="0.35">
      <c r="D527" s="702"/>
      <c r="M527" s="703"/>
      <c r="T527" s="699"/>
      <c r="U527" s="699"/>
      <c r="V527" s="699"/>
    </row>
    <row r="528" spans="4:22" s="694" customFormat="1" x14ac:dyDescent="0.35">
      <c r="D528" s="702"/>
      <c r="M528" s="703"/>
      <c r="T528" s="699"/>
      <c r="U528" s="699"/>
      <c r="V528" s="699"/>
    </row>
    <row r="529" spans="4:22" s="694" customFormat="1" x14ac:dyDescent="0.35">
      <c r="D529" s="702"/>
      <c r="M529" s="703"/>
      <c r="T529" s="699"/>
      <c r="U529" s="699"/>
      <c r="V529" s="699"/>
    </row>
    <row r="530" spans="4:22" s="694" customFormat="1" x14ac:dyDescent="0.35">
      <c r="D530" s="702"/>
      <c r="M530" s="703"/>
      <c r="T530" s="699"/>
      <c r="U530" s="699"/>
      <c r="V530" s="699"/>
    </row>
    <row r="531" spans="4:22" s="694" customFormat="1" x14ac:dyDescent="0.35">
      <c r="D531" s="702"/>
      <c r="M531" s="703"/>
      <c r="T531" s="699"/>
      <c r="U531" s="699"/>
      <c r="V531" s="699"/>
    </row>
    <row r="532" spans="4:22" s="694" customFormat="1" x14ac:dyDescent="0.35">
      <c r="D532" s="702"/>
      <c r="M532" s="703"/>
      <c r="T532" s="699"/>
      <c r="U532" s="699"/>
      <c r="V532" s="699"/>
    </row>
    <row r="533" spans="4:22" s="694" customFormat="1" x14ac:dyDescent="0.35">
      <c r="D533" s="702"/>
      <c r="M533" s="703"/>
      <c r="T533" s="699"/>
      <c r="U533" s="699"/>
      <c r="V533" s="699"/>
    </row>
    <row r="534" spans="4:22" s="694" customFormat="1" x14ac:dyDescent="0.35">
      <c r="D534" s="702"/>
      <c r="M534" s="703"/>
      <c r="T534" s="699"/>
      <c r="U534" s="699"/>
      <c r="V534" s="699"/>
    </row>
    <row r="535" spans="4:22" s="694" customFormat="1" x14ac:dyDescent="0.35">
      <c r="D535" s="702"/>
      <c r="M535" s="703"/>
      <c r="T535" s="699"/>
      <c r="U535" s="699"/>
      <c r="V535" s="699"/>
    </row>
    <row r="536" spans="4:22" s="694" customFormat="1" x14ac:dyDescent="0.35">
      <c r="D536" s="702"/>
      <c r="M536" s="703"/>
      <c r="T536" s="699"/>
      <c r="U536" s="699"/>
      <c r="V536" s="699"/>
    </row>
    <row r="537" spans="4:22" s="694" customFormat="1" x14ac:dyDescent="0.35">
      <c r="D537" s="702"/>
      <c r="M537" s="703"/>
      <c r="T537" s="699"/>
      <c r="U537" s="699"/>
      <c r="V537" s="699"/>
    </row>
    <row r="538" spans="4:22" s="694" customFormat="1" x14ac:dyDescent="0.35">
      <c r="D538" s="702"/>
      <c r="M538" s="703"/>
      <c r="T538" s="699"/>
      <c r="U538" s="699"/>
      <c r="V538" s="699"/>
    </row>
    <row r="539" spans="4:22" s="694" customFormat="1" x14ac:dyDescent="0.35">
      <c r="D539" s="702"/>
      <c r="M539" s="703"/>
      <c r="T539" s="699"/>
      <c r="U539" s="699"/>
      <c r="V539" s="699"/>
    </row>
    <row r="540" spans="4:22" s="694" customFormat="1" x14ac:dyDescent="0.35">
      <c r="D540" s="702"/>
      <c r="M540" s="703"/>
      <c r="T540" s="699"/>
      <c r="U540" s="699"/>
      <c r="V540" s="699"/>
    </row>
    <row r="541" spans="4:22" s="694" customFormat="1" x14ac:dyDescent="0.35">
      <c r="D541" s="702"/>
      <c r="M541" s="703"/>
      <c r="T541" s="699"/>
      <c r="U541" s="699"/>
      <c r="V541" s="699"/>
    </row>
    <row r="542" spans="4:22" s="694" customFormat="1" x14ac:dyDescent="0.35">
      <c r="D542" s="702"/>
      <c r="M542" s="703"/>
      <c r="T542" s="699"/>
      <c r="U542" s="699"/>
      <c r="V542" s="699"/>
    </row>
    <row r="543" spans="4:22" s="694" customFormat="1" x14ac:dyDescent="0.35">
      <c r="D543" s="702"/>
      <c r="M543" s="703"/>
      <c r="T543" s="699"/>
      <c r="U543" s="699"/>
      <c r="V543" s="699"/>
    </row>
    <row r="544" spans="4:22" s="694" customFormat="1" x14ac:dyDescent="0.35">
      <c r="D544" s="702"/>
      <c r="M544" s="703"/>
      <c r="T544" s="699"/>
      <c r="U544" s="699"/>
      <c r="V544" s="699"/>
    </row>
    <row r="545" spans="4:22" s="694" customFormat="1" x14ac:dyDescent="0.35">
      <c r="D545" s="702"/>
      <c r="M545" s="703"/>
      <c r="T545" s="699"/>
      <c r="U545" s="699"/>
      <c r="V545" s="699"/>
    </row>
    <row r="546" spans="4:22" s="694" customFormat="1" x14ac:dyDescent="0.35">
      <c r="D546" s="702"/>
      <c r="M546" s="703"/>
      <c r="T546" s="699"/>
      <c r="U546" s="699"/>
      <c r="V546" s="699"/>
    </row>
    <row r="547" spans="4:22" s="694" customFormat="1" x14ac:dyDescent="0.35">
      <c r="D547" s="702"/>
      <c r="M547" s="703"/>
      <c r="T547" s="699"/>
      <c r="U547" s="699"/>
      <c r="V547" s="699"/>
    </row>
    <row r="548" spans="4:22" s="694" customFormat="1" x14ac:dyDescent="0.35">
      <c r="D548" s="702"/>
      <c r="M548" s="703"/>
      <c r="T548" s="699"/>
      <c r="U548" s="699"/>
      <c r="V548" s="699"/>
    </row>
    <row r="549" spans="4:22" s="694" customFormat="1" x14ac:dyDescent="0.35">
      <c r="D549" s="702"/>
      <c r="M549" s="703"/>
      <c r="T549" s="699"/>
      <c r="U549" s="699"/>
      <c r="V549" s="699"/>
    </row>
    <row r="550" spans="4:22" s="694" customFormat="1" x14ac:dyDescent="0.35">
      <c r="D550" s="702"/>
      <c r="M550" s="703"/>
      <c r="T550" s="699"/>
      <c r="U550" s="699"/>
      <c r="V550" s="699"/>
    </row>
    <row r="551" spans="4:22" s="694" customFormat="1" x14ac:dyDescent="0.35">
      <c r="D551" s="702"/>
      <c r="M551" s="703"/>
      <c r="T551" s="699"/>
      <c r="U551" s="699"/>
      <c r="V551" s="699"/>
    </row>
    <row r="552" spans="4:22" s="694" customFormat="1" x14ac:dyDescent="0.35">
      <c r="D552" s="702"/>
      <c r="M552" s="703"/>
      <c r="T552" s="699"/>
      <c r="U552" s="699"/>
      <c r="V552" s="699"/>
    </row>
    <row r="553" spans="4:22" s="694" customFormat="1" x14ac:dyDescent="0.35">
      <c r="D553" s="702"/>
      <c r="M553" s="703"/>
      <c r="T553" s="699"/>
      <c r="U553" s="699"/>
      <c r="V553" s="699"/>
    </row>
    <row r="554" spans="4:22" s="694" customFormat="1" x14ac:dyDescent="0.35">
      <c r="D554" s="702"/>
      <c r="M554" s="703"/>
      <c r="T554" s="699"/>
      <c r="U554" s="699"/>
      <c r="V554" s="699"/>
    </row>
    <row r="555" spans="4:22" s="694" customFormat="1" x14ac:dyDescent="0.35">
      <c r="D555" s="702"/>
      <c r="M555" s="703"/>
      <c r="T555" s="699"/>
      <c r="U555" s="699"/>
      <c r="V555" s="699"/>
    </row>
    <row r="556" spans="4:22" s="694" customFormat="1" x14ac:dyDescent="0.35">
      <c r="D556" s="702"/>
      <c r="M556" s="703"/>
      <c r="T556" s="699"/>
      <c r="U556" s="699"/>
      <c r="V556" s="699"/>
    </row>
    <row r="557" spans="4:22" s="694" customFormat="1" x14ac:dyDescent="0.35">
      <c r="D557" s="702"/>
      <c r="M557" s="703"/>
      <c r="T557" s="699"/>
      <c r="U557" s="699"/>
      <c r="V557" s="699"/>
    </row>
    <row r="558" spans="4:22" s="694" customFormat="1" x14ac:dyDescent="0.35">
      <c r="D558" s="702"/>
      <c r="M558" s="703"/>
      <c r="T558" s="699"/>
      <c r="U558" s="699"/>
      <c r="V558" s="699"/>
    </row>
    <row r="559" spans="4:22" s="694" customFormat="1" x14ac:dyDescent="0.35">
      <c r="D559" s="702"/>
      <c r="M559" s="703"/>
      <c r="T559" s="699"/>
      <c r="U559" s="699"/>
      <c r="V559" s="699"/>
    </row>
    <row r="560" spans="4:22" s="694" customFormat="1" x14ac:dyDescent="0.35">
      <c r="D560" s="702"/>
      <c r="M560" s="703"/>
      <c r="T560" s="699"/>
      <c r="U560" s="699"/>
      <c r="V560" s="699"/>
    </row>
    <row r="561" spans="4:22" s="694" customFormat="1" x14ac:dyDescent="0.35">
      <c r="D561" s="702"/>
      <c r="M561" s="703"/>
      <c r="T561" s="699"/>
      <c r="U561" s="699"/>
      <c r="V561" s="699"/>
    </row>
    <row r="562" spans="4:22" s="694" customFormat="1" x14ac:dyDescent="0.35">
      <c r="D562" s="702"/>
      <c r="M562" s="703"/>
      <c r="T562" s="699"/>
      <c r="U562" s="699"/>
      <c r="V562" s="699"/>
    </row>
    <row r="563" spans="4:22" s="694" customFormat="1" x14ac:dyDescent="0.35">
      <c r="D563" s="702"/>
      <c r="M563" s="703"/>
      <c r="T563" s="699"/>
      <c r="U563" s="699"/>
      <c r="V563" s="699"/>
    </row>
    <row r="564" spans="4:22" s="694" customFormat="1" x14ac:dyDescent="0.35">
      <c r="D564" s="702"/>
      <c r="M564" s="703"/>
      <c r="T564" s="699"/>
      <c r="U564" s="699"/>
      <c r="V564" s="699"/>
    </row>
    <row r="565" spans="4:22" s="694" customFormat="1" x14ac:dyDescent="0.35">
      <c r="D565" s="702"/>
      <c r="M565" s="703"/>
      <c r="T565" s="699"/>
      <c r="U565" s="699"/>
      <c r="V565" s="699"/>
    </row>
    <row r="566" spans="4:22" s="694" customFormat="1" x14ac:dyDescent="0.35">
      <c r="D566" s="702"/>
      <c r="M566" s="703"/>
      <c r="T566" s="699"/>
      <c r="U566" s="699"/>
      <c r="V566" s="699"/>
    </row>
    <row r="567" spans="4:22" s="694" customFormat="1" x14ac:dyDescent="0.35">
      <c r="D567" s="702"/>
      <c r="M567" s="703"/>
      <c r="T567" s="699"/>
      <c r="U567" s="699"/>
      <c r="V567" s="699"/>
    </row>
    <row r="568" spans="4:22" s="694" customFormat="1" x14ac:dyDescent="0.35">
      <c r="D568" s="702"/>
      <c r="M568" s="703"/>
      <c r="T568" s="699"/>
      <c r="U568" s="699"/>
      <c r="V568" s="699"/>
    </row>
    <row r="569" spans="4:22" s="694" customFormat="1" x14ac:dyDescent="0.35">
      <c r="D569" s="702"/>
      <c r="M569" s="703"/>
      <c r="T569" s="699"/>
      <c r="U569" s="699"/>
      <c r="V569" s="699"/>
    </row>
    <row r="570" spans="4:22" s="694" customFormat="1" x14ac:dyDescent="0.35">
      <c r="D570" s="702"/>
      <c r="M570" s="703"/>
      <c r="T570" s="699"/>
      <c r="U570" s="699"/>
      <c r="V570" s="699"/>
    </row>
    <row r="571" spans="4:22" s="694" customFormat="1" x14ac:dyDescent="0.35">
      <c r="D571" s="702"/>
      <c r="M571" s="703"/>
      <c r="T571" s="699"/>
      <c r="U571" s="699"/>
      <c r="V571" s="699"/>
    </row>
    <row r="572" spans="4:22" s="694" customFormat="1" x14ac:dyDescent="0.35">
      <c r="D572" s="702"/>
      <c r="M572" s="703"/>
      <c r="T572" s="699"/>
      <c r="U572" s="699"/>
      <c r="V572" s="699"/>
    </row>
    <row r="573" spans="4:22" s="694" customFormat="1" x14ac:dyDescent="0.35">
      <c r="D573" s="702"/>
      <c r="M573" s="703"/>
      <c r="T573" s="699"/>
      <c r="U573" s="699"/>
      <c r="V573" s="699"/>
    </row>
    <row r="574" spans="4:22" s="694" customFormat="1" x14ac:dyDescent="0.35">
      <c r="D574" s="702"/>
      <c r="M574" s="703"/>
      <c r="T574" s="699"/>
      <c r="U574" s="699"/>
      <c r="V574" s="699"/>
    </row>
    <row r="575" spans="4:22" s="694" customFormat="1" x14ac:dyDescent="0.35">
      <c r="D575" s="702"/>
      <c r="M575" s="703"/>
      <c r="T575" s="699"/>
      <c r="U575" s="699"/>
      <c r="V575" s="699"/>
    </row>
    <row r="576" spans="4:22" s="694" customFormat="1" x14ac:dyDescent="0.35">
      <c r="D576" s="702"/>
      <c r="M576" s="703"/>
      <c r="T576" s="699"/>
      <c r="U576" s="699"/>
      <c r="V576" s="699"/>
    </row>
    <row r="577" spans="4:22" s="694" customFormat="1" x14ac:dyDescent="0.35">
      <c r="D577" s="702"/>
      <c r="M577" s="703"/>
      <c r="T577" s="699"/>
      <c r="U577" s="699"/>
      <c r="V577" s="699"/>
    </row>
    <row r="578" spans="4:22" s="694" customFormat="1" x14ac:dyDescent="0.35">
      <c r="D578" s="702"/>
      <c r="M578" s="703"/>
      <c r="T578" s="699"/>
      <c r="U578" s="699"/>
      <c r="V578" s="699"/>
    </row>
    <row r="579" spans="4:22" s="694" customFormat="1" x14ac:dyDescent="0.35">
      <c r="D579" s="702"/>
      <c r="M579" s="703"/>
      <c r="T579" s="699"/>
      <c r="U579" s="699"/>
      <c r="V579" s="699"/>
    </row>
    <row r="580" spans="4:22" s="694" customFormat="1" x14ac:dyDescent="0.35">
      <c r="D580" s="702"/>
      <c r="M580" s="703"/>
      <c r="T580" s="699"/>
      <c r="U580" s="699"/>
      <c r="V580" s="699"/>
    </row>
    <row r="581" spans="4:22" s="694" customFormat="1" x14ac:dyDescent="0.35">
      <c r="D581" s="702"/>
      <c r="M581" s="703"/>
      <c r="T581" s="699"/>
      <c r="U581" s="699"/>
      <c r="V581" s="699"/>
    </row>
    <row r="582" spans="4:22" s="694" customFormat="1" x14ac:dyDescent="0.35">
      <c r="D582" s="702"/>
      <c r="M582" s="703"/>
      <c r="T582" s="699"/>
      <c r="U582" s="699"/>
      <c r="V582" s="699"/>
    </row>
    <row r="583" spans="4:22" s="694" customFormat="1" x14ac:dyDescent="0.35">
      <c r="D583" s="702"/>
      <c r="M583" s="703"/>
      <c r="T583" s="699"/>
      <c r="U583" s="699"/>
      <c r="V583" s="699"/>
    </row>
    <row r="584" spans="4:22" s="694" customFormat="1" x14ac:dyDescent="0.35">
      <c r="D584" s="702"/>
      <c r="M584" s="703"/>
      <c r="T584" s="699"/>
      <c r="U584" s="699"/>
      <c r="V584" s="699"/>
    </row>
    <row r="585" spans="4:22" s="694" customFormat="1" x14ac:dyDescent="0.35">
      <c r="D585" s="702"/>
      <c r="M585" s="703"/>
      <c r="T585" s="699"/>
      <c r="U585" s="699"/>
      <c r="V585" s="699"/>
    </row>
    <row r="586" spans="4:22" s="694" customFormat="1" x14ac:dyDescent="0.35">
      <c r="D586" s="702"/>
      <c r="M586" s="703"/>
      <c r="T586" s="699"/>
      <c r="U586" s="699"/>
      <c r="V586" s="699"/>
    </row>
    <row r="587" spans="4:22" s="694" customFormat="1" x14ac:dyDescent="0.35">
      <c r="D587" s="702"/>
      <c r="M587" s="703"/>
      <c r="T587" s="699"/>
      <c r="U587" s="699"/>
      <c r="V587" s="699"/>
    </row>
    <row r="588" spans="4:22" s="694" customFormat="1" x14ac:dyDescent="0.35">
      <c r="D588" s="702"/>
      <c r="M588" s="703"/>
      <c r="T588" s="699"/>
      <c r="U588" s="699"/>
      <c r="V588" s="699"/>
    </row>
    <row r="589" spans="4:22" s="694" customFormat="1" x14ac:dyDescent="0.35">
      <c r="D589" s="702"/>
      <c r="M589" s="703"/>
      <c r="T589" s="699"/>
      <c r="U589" s="699"/>
      <c r="V589" s="699"/>
    </row>
    <row r="590" spans="4:22" s="694" customFormat="1" x14ac:dyDescent="0.35">
      <c r="D590" s="702"/>
      <c r="M590" s="703"/>
      <c r="T590" s="699"/>
      <c r="U590" s="699"/>
      <c r="V590" s="699"/>
    </row>
    <row r="591" spans="4:22" s="694" customFormat="1" x14ac:dyDescent="0.35">
      <c r="D591" s="702"/>
      <c r="M591" s="703"/>
      <c r="T591" s="699"/>
      <c r="U591" s="699"/>
      <c r="V591" s="699"/>
    </row>
    <row r="592" spans="4:22" s="694" customFormat="1" x14ac:dyDescent="0.35">
      <c r="D592" s="702"/>
      <c r="M592" s="703"/>
      <c r="T592" s="699"/>
      <c r="U592" s="699"/>
      <c r="V592" s="699"/>
    </row>
    <row r="593" spans="4:22" s="694" customFormat="1" x14ac:dyDescent="0.35">
      <c r="D593" s="702"/>
      <c r="M593" s="703"/>
      <c r="T593" s="699"/>
      <c r="U593" s="699"/>
      <c r="V593" s="699"/>
    </row>
    <row r="594" spans="4:22" s="694" customFormat="1" x14ac:dyDescent="0.35">
      <c r="D594" s="702"/>
      <c r="M594" s="703"/>
      <c r="T594" s="699"/>
      <c r="U594" s="699"/>
      <c r="V594" s="699"/>
    </row>
    <row r="595" spans="4:22" s="694" customFormat="1" x14ac:dyDescent="0.35">
      <c r="D595" s="702"/>
      <c r="M595" s="703"/>
      <c r="T595" s="699"/>
      <c r="U595" s="699"/>
      <c r="V595" s="699"/>
    </row>
    <row r="596" spans="4:22" s="694" customFormat="1" x14ac:dyDescent="0.35">
      <c r="D596" s="702"/>
      <c r="M596" s="703"/>
      <c r="T596" s="699"/>
      <c r="U596" s="699"/>
      <c r="V596" s="699"/>
    </row>
    <row r="597" spans="4:22" s="694" customFormat="1" x14ac:dyDescent="0.35">
      <c r="D597" s="702"/>
      <c r="M597" s="703"/>
      <c r="T597" s="699"/>
      <c r="U597" s="699"/>
      <c r="V597" s="699"/>
    </row>
    <row r="598" spans="4:22" s="694" customFormat="1" x14ac:dyDescent="0.35">
      <c r="D598" s="702"/>
      <c r="M598" s="703"/>
      <c r="T598" s="699"/>
      <c r="U598" s="699"/>
      <c r="V598" s="699"/>
    </row>
    <row r="599" spans="4:22" s="694" customFormat="1" x14ac:dyDescent="0.35">
      <c r="D599" s="702"/>
      <c r="M599" s="703"/>
      <c r="T599" s="699"/>
      <c r="U599" s="699"/>
      <c r="V599" s="699"/>
    </row>
    <row r="600" spans="4:22" s="694" customFormat="1" x14ac:dyDescent="0.35">
      <c r="D600" s="702"/>
      <c r="M600" s="703"/>
      <c r="T600" s="699"/>
      <c r="U600" s="699"/>
      <c r="V600" s="699"/>
    </row>
    <row r="601" spans="4:22" s="694" customFormat="1" x14ac:dyDescent="0.35">
      <c r="D601" s="702"/>
      <c r="M601" s="703"/>
      <c r="T601" s="699"/>
      <c r="U601" s="699"/>
      <c r="V601" s="699"/>
    </row>
    <row r="602" spans="4:22" s="694" customFormat="1" x14ac:dyDescent="0.35">
      <c r="D602" s="702"/>
      <c r="M602" s="703"/>
      <c r="T602" s="699"/>
      <c r="U602" s="699"/>
      <c r="V602" s="699"/>
    </row>
    <row r="603" spans="4:22" s="694" customFormat="1" x14ac:dyDescent="0.35">
      <c r="D603" s="702"/>
      <c r="M603" s="703"/>
      <c r="T603" s="699"/>
      <c r="U603" s="699"/>
      <c r="V603" s="699"/>
    </row>
    <row r="604" spans="4:22" s="694" customFormat="1" x14ac:dyDescent="0.35">
      <c r="D604" s="702"/>
      <c r="M604" s="703"/>
      <c r="T604" s="699"/>
      <c r="U604" s="699"/>
      <c r="V604" s="699"/>
    </row>
    <row r="605" spans="4:22" s="694" customFormat="1" x14ac:dyDescent="0.35">
      <c r="D605" s="702"/>
      <c r="M605" s="703"/>
      <c r="T605" s="699"/>
      <c r="U605" s="699"/>
      <c r="V605" s="699"/>
    </row>
    <row r="606" spans="4:22" s="694" customFormat="1" x14ac:dyDescent="0.35">
      <c r="D606" s="702"/>
      <c r="M606" s="703"/>
      <c r="T606" s="699"/>
      <c r="U606" s="699"/>
      <c r="V606" s="699"/>
    </row>
    <row r="607" spans="4:22" s="694" customFormat="1" x14ac:dyDescent="0.35">
      <c r="D607" s="702"/>
      <c r="M607" s="703"/>
      <c r="T607" s="699"/>
      <c r="U607" s="699"/>
      <c r="V607" s="699"/>
    </row>
    <row r="608" spans="4:22" s="694" customFormat="1" x14ac:dyDescent="0.35">
      <c r="D608" s="702"/>
      <c r="M608" s="703"/>
      <c r="T608" s="699"/>
      <c r="U608" s="699"/>
      <c r="V608" s="699"/>
    </row>
    <row r="609" spans="4:22" s="694" customFormat="1" x14ac:dyDescent="0.35">
      <c r="D609" s="702"/>
      <c r="M609" s="703"/>
      <c r="T609" s="699"/>
      <c r="U609" s="699"/>
      <c r="V609" s="699"/>
    </row>
    <row r="610" spans="4:22" s="694" customFormat="1" x14ac:dyDescent="0.35">
      <c r="D610" s="702"/>
      <c r="M610" s="703"/>
      <c r="T610" s="699"/>
      <c r="U610" s="699"/>
      <c r="V610" s="699"/>
    </row>
    <row r="611" spans="4:22" s="694" customFormat="1" x14ac:dyDescent="0.35">
      <c r="D611" s="702"/>
      <c r="M611" s="703"/>
      <c r="T611" s="699"/>
      <c r="U611" s="699"/>
      <c r="V611" s="699"/>
    </row>
    <row r="612" spans="4:22" s="694" customFormat="1" x14ac:dyDescent="0.35">
      <c r="D612" s="702"/>
      <c r="M612" s="703"/>
      <c r="T612" s="699"/>
      <c r="U612" s="699"/>
      <c r="V612" s="699"/>
    </row>
    <row r="613" spans="4:22" s="694" customFormat="1" x14ac:dyDescent="0.35">
      <c r="D613" s="702"/>
      <c r="M613" s="703"/>
      <c r="T613" s="699"/>
      <c r="U613" s="699"/>
      <c r="V613" s="699"/>
    </row>
    <row r="614" spans="4:22" s="694" customFormat="1" x14ac:dyDescent="0.35">
      <c r="D614" s="702"/>
      <c r="M614" s="703"/>
      <c r="T614" s="699"/>
      <c r="U614" s="699"/>
      <c r="V614" s="699"/>
    </row>
    <row r="615" spans="4:22" s="694" customFormat="1" x14ac:dyDescent="0.35">
      <c r="D615" s="702"/>
      <c r="M615" s="703"/>
      <c r="T615" s="699"/>
      <c r="U615" s="699"/>
      <c r="V615" s="699"/>
    </row>
    <row r="616" spans="4:22" s="694" customFormat="1" x14ac:dyDescent="0.35">
      <c r="D616" s="702"/>
      <c r="M616" s="703"/>
      <c r="T616" s="699"/>
      <c r="U616" s="699"/>
      <c r="V616" s="699"/>
    </row>
    <row r="617" spans="4:22" s="694" customFormat="1" x14ac:dyDescent="0.35">
      <c r="D617" s="702"/>
      <c r="M617" s="703"/>
      <c r="T617" s="699"/>
      <c r="U617" s="699"/>
      <c r="V617" s="699"/>
    </row>
    <row r="618" spans="4:22" s="694" customFormat="1" x14ac:dyDescent="0.35">
      <c r="D618" s="702"/>
      <c r="M618" s="703"/>
      <c r="T618" s="699"/>
      <c r="U618" s="699"/>
      <c r="V618" s="699"/>
    </row>
    <row r="619" spans="4:22" s="694" customFormat="1" x14ac:dyDescent="0.35">
      <c r="D619" s="702"/>
      <c r="M619" s="703"/>
      <c r="T619" s="699"/>
      <c r="U619" s="699"/>
      <c r="V619" s="699"/>
    </row>
    <row r="620" spans="4:22" s="694" customFormat="1" x14ac:dyDescent="0.35">
      <c r="D620" s="702"/>
      <c r="M620" s="703"/>
      <c r="T620" s="699"/>
      <c r="U620" s="699"/>
      <c r="V620" s="699"/>
    </row>
    <row r="621" spans="4:22" s="694" customFormat="1" x14ac:dyDescent="0.35">
      <c r="D621" s="702"/>
      <c r="M621" s="703"/>
      <c r="T621" s="699"/>
      <c r="U621" s="699"/>
      <c r="V621" s="699"/>
    </row>
    <row r="622" spans="4:22" s="694" customFormat="1" x14ac:dyDescent="0.35">
      <c r="D622" s="702"/>
      <c r="M622" s="703"/>
      <c r="T622" s="699"/>
      <c r="U622" s="699"/>
      <c r="V622" s="699"/>
    </row>
    <row r="623" spans="4:22" s="694" customFormat="1" x14ac:dyDescent="0.35">
      <c r="D623" s="702"/>
      <c r="M623" s="703"/>
      <c r="T623" s="699"/>
      <c r="U623" s="699"/>
      <c r="V623" s="699"/>
    </row>
    <row r="624" spans="4:22" s="694" customFormat="1" x14ac:dyDescent="0.35">
      <c r="D624" s="702"/>
      <c r="M624" s="703"/>
      <c r="T624" s="699"/>
      <c r="U624" s="699"/>
      <c r="V624" s="699"/>
    </row>
    <row r="625" spans="4:22" s="694" customFormat="1" x14ac:dyDescent="0.35">
      <c r="D625" s="702"/>
      <c r="M625" s="703"/>
      <c r="T625" s="699"/>
      <c r="U625" s="699"/>
      <c r="V625" s="699"/>
    </row>
    <row r="626" spans="4:22" s="694" customFormat="1" x14ac:dyDescent="0.35">
      <c r="D626" s="702"/>
      <c r="M626" s="703"/>
      <c r="T626" s="699"/>
      <c r="U626" s="699"/>
      <c r="V626" s="699"/>
    </row>
    <row r="627" spans="4:22" s="694" customFormat="1" x14ac:dyDescent="0.35">
      <c r="D627" s="702"/>
      <c r="M627" s="703"/>
      <c r="T627" s="699"/>
      <c r="U627" s="699"/>
      <c r="V627" s="699"/>
    </row>
    <row r="628" spans="4:22" s="694" customFormat="1" x14ac:dyDescent="0.35">
      <c r="D628" s="702"/>
      <c r="M628" s="703"/>
      <c r="T628" s="699"/>
      <c r="U628" s="699"/>
      <c r="V628" s="699"/>
    </row>
    <row r="629" spans="4:22" s="694" customFormat="1" x14ac:dyDescent="0.35">
      <c r="D629" s="702"/>
      <c r="M629" s="703"/>
      <c r="T629" s="699"/>
      <c r="U629" s="699"/>
      <c r="V629" s="699"/>
    </row>
    <row r="630" spans="4:22" s="694" customFormat="1" x14ac:dyDescent="0.35">
      <c r="D630" s="702"/>
      <c r="M630" s="703"/>
      <c r="T630" s="699"/>
      <c r="U630" s="699"/>
      <c r="V630" s="699"/>
    </row>
    <row r="631" spans="4:22" s="694" customFormat="1" x14ac:dyDescent="0.35">
      <c r="D631" s="702"/>
      <c r="M631" s="703"/>
      <c r="T631" s="699"/>
      <c r="U631" s="699"/>
      <c r="V631" s="699"/>
    </row>
    <row r="632" spans="4:22" s="694" customFormat="1" x14ac:dyDescent="0.35">
      <c r="D632" s="702"/>
      <c r="M632" s="703"/>
      <c r="T632" s="699"/>
      <c r="U632" s="699"/>
      <c r="V632" s="699"/>
    </row>
    <row r="633" spans="4:22" s="694" customFormat="1" x14ac:dyDescent="0.35">
      <c r="D633" s="702"/>
      <c r="M633" s="703"/>
      <c r="T633" s="699"/>
      <c r="U633" s="699"/>
      <c r="V633" s="699"/>
    </row>
    <row r="634" spans="4:22" s="694" customFormat="1" x14ac:dyDescent="0.35">
      <c r="D634" s="702"/>
      <c r="M634" s="703"/>
      <c r="T634" s="699"/>
      <c r="U634" s="699"/>
      <c r="V634" s="699"/>
    </row>
    <row r="635" spans="4:22" s="694" customFormat="1" x14ac:dyDescent="0.35">
      <c r="D635" s="702"/>
      <c r="M635" s="703"/>
      <c r="T635" s="699"/>
      <c r="U635" s="699"/>
      <c r="V635" s="699"/>
    </row>
    <row r="636" spans="4:22" s="694" customFormat="1" x14ac:dyDescent="0.35">
      <c r="D636" s="702"/>
      <c r="M636" s="703"/>
      <c r="T636" s="699"/>
      <c r="U636" s="699"/>
      <c r="V636" s="699"/>
    </row>
    <row r="637" spans="4:22" s="694" customFormat="1" x14ac:dyDescent="0.35">
      <c r="D637" s="702"/>
      <c r="M637" s="703"/>
      <c r="T637" s="699"/>
      <c r="U637" s="699"/>
      <c r="V637" s="699"/>
    </row>
    <row r="638" spans="4:22" s="694" customFormat="1" x14ac:dyDescent="0.35">
      <c r="D638" s="702"/>
      <c r="M638" s="703"/>
      <c r="T638" s="699"/>
      <c r="U638" s="699"/>
      <c r="V638" s="699"/>
    </row>
    <row r="639" spans="4:22" s="694" customFormat="1" x14ac:dyDescent="0.35">
      <c r="D639" s="702"/>
      <c r="M639" s="703"/>
      <c r="T639" s="699"/>
      <c r="U639" s="699"/>
      <c r="V639" s="699"/>
    </row>
    <row r="640" spans="4:22" s="694" customFormat="1" x14ac:dyDescent="0.35">
      <c r="D640" s="702"/>
      <c r="M640" s="703"/>
      <c r="T640" s="699"/>
      <c r="U640" s="699"/>
      <c r="V640" s="699"/>
    </row>
    <row r="641" spans="4:22" s="694" customFormat="1" x14ac:dyDescent="0.35">
      <c r="D641" s="702"/>
      <c r="M641" s="703"/>
      <c r="T641" s="699"/>
      <c r="U641" s="699"/>
      <c r="V641" s="699"/>
    </row>
    <row r="642" spans="4:22" s="694" customFormat="1" x14ac:dyDescent="0.35">
      <c r="D642" s="702"/>
      <c r="M642" s="703"/>
      <c r="T642" s="699"/>
      <c r="U642" s="699"/>
      <c r="V642" s="699"/>
    </row>
    <row r="643" spans="4:22" s="694" customFormat="1" x14ac:dyDescent="0.35">
      <c r="D643" s="702"/>
      <c r="M643" s="703"/>
      <c r="T643" s="699"/>
      <c r="U643" s="699"/>
      <c r="V643" s="699"/>
    </row>
    <row r="644" spans="4:22" s="694" customFormat="1" x14ac:dyDescent="0.35">
      <c r="D644" s="702"/>
      <c r="M644" s="703"/>
      <c r="T644" s="699"/>
      <c r="U644" s="699"/>
      <c r="V644" s="699"/>
    </row>
    <row r="645" spans="4:22" s="694" customFormat="1" x14ac:dyDescent="0.35">
      <c r="D645" s="702"/>
      <c r="M645" s="703"/>
      <c r="T645" s="699"/>
      <c r="U645" s="699"/>
      <c r="V645" s="699"/>
    </row>
    <row r="646" spans="4:22" s="694" customFormat="1" x14ac:dyDescent="0.35">
      <c r="D646" s="702"/>
      <c r="M646" s="703"/>
      <c r="T646" s="699"/>
      <c r="U646" s="699"/>
      <c r="V646" s="699"/>
    </row>
    <row r="647" spans="4:22" s="694" customFormat="1" x14ac:dyDescent="0.35">
      <c r="D647" s="702"/>
      <c r="M647" s="703"/>
      <c r="T647" s="699"/>
      <c r="U647" s="699"/>
      <c r="V647" s="699"/>
    </row>
    <row r="648" spans="4:22" s="694" customFormat="1" x14ac:dyDescent="0.35">
      <c r="D648" s="702"/>
      <c r="M648" s="703"/>
      <c r="T648" s="699"/>
      <c r="U648" s="699"/>
      <c r="V648" s="699"/>
    </row>
    <row r="649" spans="4:22" s="694" customFormat="1" x14ac:dyDescent="0.35">
      <c r="D649" s="702"/>
      <c r="M649" s="703"/>
      <c r="T649" s="699"/>
      <c r="U649" s="699"/>
      <c r="V649" s="699"/>
    </row>
    <row r="650" spans="4:22" s="694" customFormat="1" x14ac:dyDescent="0.35">
      <c r="D650" s="702"/>
      <c r="M650" s="703"/>
      <c r="T650" s="699"/>
      <c r="U650" s="699"/>
      <c r="V650" s="699"/>
    </row>
    <row r="651" spans="4:22" s="694" customFormat="1" x14ac:dyDescent="0.35">
      <c r="D651" s="702"/>
      <c r="M651" s="703"/>
      <c r="T651" s="699"/>
      <c r="U651" s="699"/>
      <c r="V651" s="699"/>
    </row>
    <row r="652" spans="4:22" s="694" customFormat="1" x14ac:dyDescent="0.35">
      <c r="D652" s="702"/>
      <c r="M652" s="703"/>
      <c r="T652" s="699"/>
      <c r="U652" s="699"/>
      <c r="V652" s="699"/>
    </row>
    <row r="653" spans="4:22" s="694" customFormat="1" x14ac:dyDescent="0.35">
      <c r="D653" s="702"/>
      <c r="M653" s="703"/>
      <c r="T653" s="699"/>
      <c r="U653" s="699"/>
      <c r="V653" s="699"/>
    </row>
    <row r="654" spans="4:22" s="694" customFormat="1" x14ac:dyDescent="0.35">
      <c r="D654" s="702"/>
      <c r="M654" s="703"/>
      <c r="T654" s="699"/>
      <c r="U654" s="699"/>
      <c r="V654" s="699"/>
    </row>
    <row r="655" spans="4:22" s="694" customFormat="1" x14ac:dyDescent="0.35">
      <c r="D655" s="702"/>
      <c r="M655" s="703"/>
      <c r="T655" s="699"/>
      <c r="U655" s="699"/>
      <c r="V655" s="699"/>
    </row>
    <row r="656" spans="4:22" s="694" customFormat="1" x14ac:dyDescent="0.35">
      <c r="D656" s="702"/>
      <c r="M656" s="703"/>
      <c r="T656" s="699"/>
      <c r="U656" s="699"/>
      <c r="V656" s="699"/>
    </row>
    <row r="657" spans="4:22" s="694" customFormat="1" x14ac:dyDescent="0.35">
      <c r="D657" s="702"/>
      <c r="M657" s="703"/>
      <c r="T657" s="699"/>
      <c r="U657" s="699"/>
      <c r="V657" s="699"/>
    </row>
    <row r="658" spans="4:22" s="694" customFormat="1" x14ac:dyDescent="0.35">
      <c r="D658" s="702"/>
      <c r="M658" s="703"/>
      <c r="T658" s="699"/>
      <c r="U658" s="699"/>
      <c r="V658" s="699"/>
    </row>
    <row r="659" spans="4:22" s="694" customFormat="1" x14ac:dyDescent="0.35">
      <c r="D659" s="702"/>
      <c r="M659" s="703"/>
      <c r="T659" s="699"/>
      <c r="U659" s="699"/>
      <c r="V659" s="699"/>
    </row>
    <row r="660" spans="4:22" s="694" customFormat="1" x14ac:dyDescent="0.35">
      <c r="D660" s="702"/>
      <c r="M660" s="703"/>
      <c r="T660" s="699"/>
      <c r="U660" s="699"/>
      <c r="V660" s="699"/>
    </row>
    <row r="661" spans="4:22" s="694" customFormat="1" x14ac:dyDescent="0.35">
      <c r="D661" s="702"/>
      <c r="M661" s="703"/>
      <c r="T661" s="699"/>
      <c r="U661" s="699"/>
      <c r="V661" s="699"/>
    </row>
    <row r="662" spans="4:22" s="694" customFormat="1" x14ac:dyDescent="0.35">
      <c r="D662" s="702"/>
      <c r="M662" s="703"/>
      <c r="T662" s="699"/>
      <c r="U662" s="699"/>
      <c r="V662" s="699"/>
    </row>
    <row r="663" spans="4:22" s="694" customFormat="1" x14ac:dyDescent="0.35">
      <c r="D663" s="702"/>
      <c r="M663" s="703"/>
      <c r="T663" s="699"/>
      <c r="U663" s="699"/>
      <c r="V663" s="699"/>
    </row>
    <row r="664" spans="4:22" s="694" customFormat="1" x14ac:dyDescent="0.35">
      <c r="D664" s="702"/>
      <c r="M664" s="703"/>
      <c r="T664" s="699"/>
      <c r="U664" s="699"/>
      <c r="V664" s="699"/>
    </row>
    <row r="665" spans="4:22" s="694" customFormat="1" x14ac:dyDescent="0.35">
      <c r="D665" s="702"/>
      <c r="M665" s="703"/>
      <c r="T665" s="699"/>
      <c r="U665" s="699"/>
      <c r="V665" s="699"/>
    </row>
    <row r="666" spans="4:22" s="694" customFormat="1" x14ac:dyDescent="0.35">
      <c r="D666" s="702"/>
      <c r="M666" s="703"/>
      <c r="T666" s="699"/>
      <c r="U666" s="699"/>
      <c r="V666" s="699"/>
    </row>
    <row r="667" spans="4:22" s="694" customFormat="1" x14ac:dyDescent="0.35">
      <c r="D667" s="702"/>
      <c r="M667" s="703"/>
      <c r="T667" s="699"/>
      <c r="U667" s="699"/>
      <c r="V667" s="699"/>
    </row>
    <row r="668" spans="4:22" s="694" customFormat="1" x14ac:dyDescent="0.35">
      <c r="D668" s="702"/>
      <c r="M668" s="703"/>
      <c r="T668" s="699"/>
      <c r="U668" s="699"/>
      <c r="V668" s="699"/>
    </row>
    <row r="669" spans="4:22" s="694" customFormat="1" x14ac:dyDescent="0.35">
      <c r="D669" s="702"/>
      <c r="M669" s="703"/>
      <c r="T669" s="699"/>
      <c r="U669" s="699"/>
      <c r="V669" s="699"/>
    </row>
    <row r="670" spans="4:22" s="694" customFormat="1" x14ac:dyDescent="0.35">
      <c r="D670" s="702"/>
      <c r="M670" s="703"/>
      <c r="T670" s="699"/>
      <c r="U670" s="699"/>
      <c r="V670" s="699"/>
    </row>
    <row r="671" spans="4:22" s="694" customFormat="1" x14ac:dyDescent="0.35">
      <c r="D671" s="702"/>
      <c r="M671" s="703"/>
      <c r="T671" s="699"/>
      <c r="U671" s="699"/>
      <c r="V671" s="699"/>
    </row>
    <row r="672" spans="4:22" s="694" customFormat="1" x14ac:dyDescent="0.35">
      <c r="D672" s="702"/>
      <c r="M672" s="703"/>
      <c r="T672" s="699"/>
      <c r="U672" s="699"/>
      <c r="V672" s="699"/>
    </row>
    <row r="673" spans="4:22" s="694" customFormat="1" x14ac:dyDescent="0.35">
      <c r="D673" s="702"/>
      <c r="M673" s="703"/>
      <c r="T673" s="699"/>
      <c r="U673" s="699"/>
      <c r="V673" s="699"/>
    </row>
    <row r="674" spans="4:22" s="694" customFormat="1" x14ac:dyDescent="0.35">
      <c r="D674" s="702"/>
      <c r="M674" s="703"/>
      <c r="T674" s="699"/>
      <c r="U674" s="699"/>
      <c r="V674" s="699"/>
    </row>
    <row r="675" spans="4:22" s="694" customFormat="1" x14ac:dyDescent="0.35">
      <c r="D675" s="702"/>
      <c r="M675" s="703"/>
      <c r="T675" s="699"/>
      <c r="U675" s="699"/>
      <c r="V675" s="699"/>
    </row>
    <row r="676" spans="4:22" s="694" customFormat="1" x14ac:dyDescent="0.35">
      <c r="D676" s="702"/>
      <c r="M676" s="703"/>
      <c r="T676" s="699"/>
      <c r="U676" s="699"/>
      <c r="V676" s="699"/>
    </row>
    <row r="677" spans="4:22" s="694" customFormat="1" x14ac:dyDescent="0.35">
      <c r="D677" s="702"/>
      <c r="M677" s="703"/>
      <c r="T677" s="699"/>
      <c r="U677" s="699"/>
      <c r="V677" s="699"/>
    </row>
    <row r="678" spans="4:22" s="694" customFormat="1" x14ac:dyDescent="0.35">
      <c r="D678" s="702"/>
      <c r="M678" s="703"/>
      <c r="T678" s="699"/>
      <c r="U678" s="699"/>
      <c r="V678" s="699"/>
    </row>
    <row r="679" spans="4:22" s="694" customFormat="1" x14ac:dyDescent="0.35">
      <c r="D679" s="702"/>
      <c r="M679" s="703"/>
      <c r="T679" s="699"/>
      <c r="U679" s="699"/>
      <c r="V679" s="699"/>
    </row>
    <row r="680" spans="4:22" s="694" customFormat="1" x14ac:dyDescent="0.35">
      <c r="D680" s="702"/>
      <c r="M680" s="703"/>
      <c r="T680" s="699"/>
      <c r="U680" s="699"/>
      <c r="V680" s="699"/>
    </row>
    <row r="681" spans="4:22" s="694" customFormat="1" x14ac:dyDescent="0.35">
      <c r="D681" s="702"/>
      <c r="M681" s="703"/>
      <c r="T681" s="699"/>
      <c r="U681" s="699"/>
      <c r="V681" s="699"/>
    </row>
    <row r="682" spans="4:22" s="694" customFormat="1" x14ac:dyDescent="0.35">
      <c r="D682" s="702"/>
      <c r="M682" s="703"/>
      <c r="T682" s="699"/>
      <c r="U682" s="699"/>
      <c r="V682" s="699"/>
    </row>
    <row r="683" spans="4:22" s="694" customFormat="1" x14ac:dyDescent="0.35">
      <c r="D683" s="702"/>
      <c r="M683" s="703"/>
      <c r="T683" s="699"/>
      <c r="U683" s="699"/>
      <c r="V683" s="699"/>
    </row>
    <row r="684" spans="4:22" s="694" customFormat="1" x14ac:dyDescent="0.35">
      <c r="D684" s="702"/>
      <c r="M684" s="703"/>
      <c r="T684" s="699"/>
      <c r="U684" s="699"/>
      <c r="V684" s="699"/>
    </row>
    <row r="685" spans="4:22" s="694" customFormat="1" x14ac:dyDescent="0.35">
      <c r="D685" s="702"/>
      <c r="M685" s="703"/>
      <c r="T685" s="699"/>
      <c r="U685" s="699"/>
      <c r="V685" s="699"/>
    </row>
    <row r="686" spans="4:22" s="694" customFormat="1" x14ac:dyDescent="0.35">
      <c r="D686" s="702"/>
      <c r="M686" s="703"/>
      <c r="T686" s="699"/>
      <c r="U686" s="699"/>
      <c r="V686" s="699"/>
    </row>
    <row r="687" spans="4:22" s="694" customFormat="1" x14ac:dyDescent="0.35">
      <c r="D687" s="702"/>
      <c r="M687" s="703"/>
      <c r="T687" s="699"/>
      <c r="U687" s="699"/>
      <c r="V687" s="699"/>
    </row>
    <row r="688" spans="4:22" s="694" customFormat="1" x14ac:dyDescent="0.35">
      <c r="D688" s="702"/>
      <c r="M688" s="703"/>
      <c r="T688" s="699"/>
      <c r="U688" s="699"/>
      <c r="V688" s="699"/>
    </row>
    <row r="689" spans="11:18" x14ac:dyDescent="0.35">
      <c r="K689" s="694"/>
      <c r="L689" s="694"/>
      <c r="M689" s="703"/>
      <c r="N689" s="694"/>
      <c r="O689" s="694"/>
      <c r="P689" s="694"/>
      <c r="Q689" s="694"/>
      <c r="R689" s="694"/>
    </row>
    <row r="690" spans="11:18" x14ac:dyDescent="0.35">
      <c r="K690" s="694"/>
      <c r="L690" s="694"/>
      <c r="M690" s="703"/>
      <c r="N690" s="694"/>
      <c r="O690" s="694"/>
      <c r="P690" s="694"/>
      <c r="Q690" s="694"/>
      <c r="R690" s="694"/>
    </row>
    <row r="691" spans="11:18" x14ac:dyDescent="0.35">
      <c r="K691" s="694"/>
      <c r="L691" s="694"/>
      <c r="M691" s="703"/>
      <c r="N691" s="694"/>
      <c r="O691" s="694"/>
      <c r="P691" s="694"/>
      <c r="Q691" s="694"/>
      <c r="R691" s="694"/>
    </row>
    <row r="692" spans="11:18" x14ac:dyDescent="0.35">
      <c r="K692" s="694"/>
      <c r="L692" s="694"/>
      <c r="M692" s="703"/>
      <c r="N692" s="694"/>
      <c r="O692" s="694"/>
      <c r="P692" s="694"/>
      <c r="Q692" s="694"/>
      <c r="R692" s="694"/>
    </row>
    <row r="693" spans="11:18" x14ac:dyDescent="0.35">
      <c r="K693" s="694"/>
      <c r="L693" s="694"/>
      <c r="M693" s="703"/>
      <c r="N693" s="694"/>
      <c r="O693" s="694"/>
      <c r="P693" s="694"/>
      <c r="Q693" s="694"/>
      <c r="R693" s="694"/>
    </row>
    <row r="694" spans="11:18" x14ac:dyDescent="0.35">
      <c r="K694" s="694"/>
      <c r="L694" s="694"/>
      <c r="M694" s="703"/>
      <c r="N694" s="694"/>
      <c r="O694" s="694"/>
      <c r="P694" s="694"/>
      <c r="Q694" s="694"/>
      <c r="R694" s="694"/>
    </row>
    <row r="695" spans="11:18" x14ac:dyDescent="0.35">
      <c r="K695" s="694"/>
      <c r="L695" s="694"/>
      <c r="M695" s="703"/>
      <c r="N695" s="694"/>
      <c r="O695" s="694"/>
      <c r="P695" s="694"/>
      <c r="Q695" s="694"/>
      <c r="R695" s="694"/>
    </row>
    <row r="696" spans="11:18" x14ac:dyDescent="0.35">
      <c r="K696" s="694"/>
      <c r="L696" s="694"/>
      <c r="M696" s="703"/>
      <c r="N696" s="694"/>
      <c r="O696" s="694"/>
      <c r="P696" s="694"/>
      <c r="Q696" s="694"/>
      <c r="R696" s="694"/>
    </row>
    <row r="697" spans="11:18" x14ac:dyDescent="0.35">
      <c r="K697" s="694"/>
      <c r="L697" s="694"/>
      <c r="M697" s="703"/>
      <c r="N697" s="694"/>
      <c r="O697" s="694"/>
      <c r="P697" s="694"/>
      <c r="Q697" s="694"/>
      <c r="R697" s="694"/>
    </row>
    <row r="698" spans="11:18" x14ac:dyDescent="0.35">
      <c r="K698" s="694"/>
      <c r="L698" s="694"/>
      <c r="M698" s="703"/>
      <c r="N698" s="694"/>
      <c r="O698" s="694"/>
      <c r="P698" s="694"/>
      <c r="Q698" s="694"/>
      <c r="R698" s="694"/>
    </row>
    <row r="699" spans="11:18" x14ac:dyDescent="0.35">
      <c r="K699" s="694"/>
      <c r="L699" s="694"/>
      <c r="M699" s="703"/>
      <c r="N699" s="694"/>
      <c r="O699" s="694"/>
      <c r="P699" s="694"/>
      <c r="Q699" s="694"/>
      <c r="R699" s="694"/>
    </row>
    <row r="700" spans="11:18" x14ac:dyDescent="0.35">
      <c r="K700" s="694"/>
      <c r="L700" s="694"/>
      <c r="M700" s="703"/>
      <c r="N700" s="694"/>
      <c r="O700" s="694"/>
      <c r="P700" s="694"/>
      <c r="Q700" s="694"/>
      <c r="R700" s="694"/>
    </row>
    <row r="701" spans="11:18" x14ac:dyDescent="0.35">
      <c r="K701" s="694"/>
      <c r="L701" s="694"/>
      <c r="M701" s="703"/>
      <c r="N701" s="694"/>
      <c r="O701" s="694"/>
      <c r="P701" s="694"/>
      <c r="Q701" s="694"/>
      <c r="R701" s="694"/>
    </row>
    <row r="702" spans="11:18" x14ac:dyDescent="0.35">
      <c r="K702" s="694"/>
      <c r="L702" s="694"/>
      <c r="M702" s="703"/>
      <c r="N702" s="694"/>
      <c r="O702" s="694"/>
      <c r="P702" s="694"/>
      <c r="Q702" s="694"/>
      <c r="R702" s="694"/>
    </row>
  </sheetData>
  <sheetProtection password="CC2E" sheet="1" formatCells="0" formatColumns="0" formatRows="0"/>
  <mergeCells count="227">
    <mergeCell ref="K66:L66"/>
    <mergeCell ref="N66:O66"/>
    <mergeCell ref="P66:R66"/>
    <mergeCell ref="K67:L67"/>
    <mergeCell ref="N67:O67"/>
    <mergeCell ref="P67:R67"/>
    <mergeCell ref="K68:L68"/>
    <mergeCell ref="N68:O68"/>
    <mergeCell ref="P68:R68"/>
    <mergeCell ref="P57:R57"/>
    <mergeCell ref="P58:R58"/>
    <mergeCell ref="P59:R59"/>
    <mergeCell ref="P60:R60"/>
    <mergeCell ref="P61:R61"/>
    <mergeCell ref="P62:R62"/>
    <mergeCell ref="P63:R63"/>
    <mergeCell ref="P64:R64"/>
    <mergeCell ref="P65:R65"/>
    <mergeCell ref="N57:O57"/>
    <mergeCell ref="N58:O58"/>
    <mergeCell ref="N59:O59"/>
    <mergeCell ref="N60:O60"/>
    <mergeCell ref="N61:O61"/>
    <mergeCell ref="N62:O62"/>
    <mergeCell ref="N63:O63"/>
    <mergeCell ref="N64:O64"/>
    <mergeCell ref="N65:O65"/>
    <mergeCell ref="K57:L57"/>
    <mergeCell ref="K58:L58"/>
    <mergeCell ref="K59:L59"/>
    <mergeCell ref="K60:L60"/>
    <mergeCell ref="K61:L61"/>
    <mergeCell ref="K62:L62"/>
    <mergeCell ref="K63:L63"/>
    <mergeCell ref="K64:L64"/>
    <mergeCell ref="K65:L65"/>
    <mergeCell ref="K13:L14"/>
    <mergeCell ref="M13:M14"/>
    <mergeCell ref="N13:O14"/>
    <mergeCell ref="F14:I14"/>
    <mergeCell ref="K25:L25"/>
    <mergeCell ref="N25:O25"/>
    <mergeCell ref="P22:R22"/>
    <mergeCell ref="P23:R23"/>
    <mergeCell ref="E11:F11"/>
    <mergeCell ref="F18:I18"/>
    <mergeCell ref="K18:L18"/>
    <mergeCell ref="N18:O18"/>
    <mergeCell ref="F15:I15"/>
    <mergeCell ref="K15:L15"/>
    <mergeCell ref="N15:O15"/>
    <mergeCell ref="F16:I16"/>
    <mergeCell ref="K16:L16"/>
    <mergeCell ref="N16:O16"/>
    <mergeCell ref="P24:R24"/>
    <mergeCell ref="P25:R25"/>
    <mergeCell ref="G11:I11"/>
    <mergeCell ref="N11:O11"/>
    <mergeCell ref="P11:R11"/>
    <mergeCell ref="F13:I13"/>
    <mergeCell ref="Q1:R1"/>
    <mergeCell ref="Q2:R2"/>
    <mergeCell ref="E8:I8"/>
    <mergeCell ref="N8:R8"/>
    <mergeCell ref="E9:I9"/>
    <mergeCell ref="N9:R9"/>
    <mergeCell ref="E10:I10"/>
    <mergeCell ref="N10:R10"/>
    <mergeCell ref="B3:I4"/>
    <mergeCell ref="K3:R4"/>
    <mergeCell ref="E6:I6"/>
    <mergeCell ref="N6:R6"/>
    <mergeCell ref="E7:I7"/>
    <mergeCell ref="N7:R7"/>
    <mergeCell ref="F28:I28"/>
    <mergeCell ref="N30:O30"/>
    <mergeCell ref="K31:L31"/>
    <mergeCell ref="N31:O31"/>
    <mergeCell ref="K17:L17"/>
    <mergeCell ref="N17:O17"/>
    <mergeCell ref="F26:I26"/>
    <mergeCell ref="K24:L24"/>
    <mergeCell ref="N24:O24"/>
    <mergeCell ref="F21:I21"/>
    <mergeCell ref="K21:L21"/>
    <mergeCell ref="N21:O21"/>
    <mergeCell ref="F23:I23"/>
    <mergeCell ref="F24:I24"/>
    <mergeCell ref="F19:I19"/>
    <mergeCell ref="K19:L19"/>
    <mergeCell ref="N19:O19"/>
    <mergeCell ref="K22:L22"/>
    <mergeCell ref="N22:O22"/>
    <mergeCell ref="K23:L23"/>
    <mergeCell ref="N23:O23"/>
    <mergeCell ref="K20:L20"/>
    <mergeCell ref="N20:O20"/>
    <mergeCell ref="F25:I25"/>
    <mergeCell ref="L75:M75"/>
    <mergeCell ref="Q75:R75"/>
    <mergeCell ref="K33:L33"/>
    <mergeCell ref="N33:O33"/>
    <mergeCell ref="K26:L26"/>
    <mergeCell ref="N26:O26"/>
    <mergeCell ref="K27:L27"/>
    <mergeCell ref="N27:O27"/>
    <mergeCell ref="K28:L28"/>
    <mergeCell ref="K29:L29"/>
    <mergeCell ref="N29:O29"/>
    <mergeCell ref="N32:O32"/>
    <mergeCell ref="N28:O28"/>
    <mergeCell ref="K32:L32"/>
    <mergeCell ref="K40:L40"/>
    <mergeCell ref="N40:O40"/>
    <mergeCell ref="N39:O39"/>
    <mergeCell ref="K35:L35"/>
    <mergeCell ref="N35:O35"/>
    <mergeCell ref="K36:L36"/>
    <mergeCell ref="N36:O36"/>
    <mergeCell ref="K37:L37"/>
    <mergeCell ref="N37:O37"/>
    <mergeCell ref="K34:L34"/>
    <mergeCell ref="N34:O34"/>
    <mergeCell ref="K30:L30"/>
    <mergeCell ref="B60:D60"/>
    <mergeCell ref="K74:M74"/>
    <mergeCell ref="P74:R74"/>
    <mergeCell ref="K44:L44"/>
    <mergeCell ref="N44:O44"/>
    <mergeCell ref="K41:L41"/>
    <mergeCell ref="K42:L42"/>
    <mergeCell ref="K43:L43"/>
    <mergeCell ref="N41:O41"/>
    <mergeCell ref="N42:O42"/>
    <mergeCell ref="K38:L38"/>
    <mergeCell ref="N38:O38"/>
    <mergeCell ref="K39:L39"/>
    <mergeCell ref="B39:C40"/>
    <mergeCell ref="D39:G40"/>
    <mergeCell ref="H39:I40"/>
    <mergeCell ref="G60:I60"/>
    <mergeCell ref="K45:L45"/>
    <mergeCell ref="N45:O45"/>
    <mergeCell ref="K46:L46"/>
    <mergeCell ref="N46:O46"/>
    <mergeCell ref="N43:O43"/>
    <mergeCell ref="G61:I61"/>
    <mergeCell ref="B61:D61"/>
    <mergeCell ref="D34:G34"/>
    <mergeCell ref="H34:I34"/>
    <mergeCell ref="B34:C34"/>
    <mergeCell ref="B35:C36"/>
    <mergeCell ref="D35:G36"/>
    <mergeCell ref="H35:I36"/>
    <mergeCell ref="B37:C38"/>
    <mergeCell ref="D37:G38"/>
    <mergeCell ref="H37:I38"/>
    <mergeCell ref="B41:C42"/>
    <mergeCell ref="H41:I42"/>
    <mergeCell ref="H43:I44"/>
    <mergeCell ref="D43:G44"/>
    <mergeCell ref="B43:C44"/>
    <mergeCell ref="D41:G42"/>
    <mergeCell ref="B45:C46"/>
    <mergeCell ref="D45:G46"/>
    <mergeCell ref="H45:I46"/>
    <mergeCell ref="D51:G51"/>
    <mergeCell ref="K49:L49"/>
    <mergeCell ref="N49:O49"/>
    <mergeCell ref="P42:R42"/>
    <mergeCell ref="P43:R43"/>
    <mergeCell ref="P44:R44"/>
    <mergeCell ref="P45:R45"/>
    <mergeCell ref="P46:R46"/>
    <mergeCell ref="K47:L47"/>
    <mergeCell ref="N47:O47"/>
    <mergeCell ref="K48:L48"/>
    <mergeCell ref="N48:O48"/>
    <mergeCell ref="P47:R47"/>
    <mergeCell ref="P48:R48"/>
    <mergeCell ref="P49:R49"/>
    <mergeCell ref="K50:L50"/>
    <mergeCell ref="N50:O50"/>
    <mergeCell ref="P50:R50"/>
    <mergeCell ref="P56:R56"/>
    <mergeCell ref="K53:L53"/>
    <mergeCell ref="N53:O53"/>
    <mergeCell ref="K54:L54"/>
    <mergeCell ref="N54:O54"/>
    <mergeCell ref="K55:L55"/>
    <mergeCell ref="N55:O55"/>
    <mergeCell ref="P53:R53"/>
    <mergeCell ref="P54:R54"/>
    <mergeCell ref="P55:R55"/>
    <mergeCell ref="K56:L56"/>
    <mergeCell ref="N56:O56"/>
    <mergeCell ref="P52:R52"/>
    <mergeCell ref="P51:R51"/>
    <mergeCell ref="N52:O52"/>
    <mergeCell ref="N51:O51"/>
    <mergeCell ref="K52:L52"/>
    <mergeCell ref="K51:L51"/>
    <mergeCell ref="X17:Y17"/>
    <mergeCell ref="P13:R14"/>
    <mergeCell ref="P15:R15"/>
    <mergeCell ref="P16:R16"/>
    <mergeCell ref="P17:R17"/>
    <mergeCell ref="P18:R18"/>
    <mergeCell ref="P19:R19"/>
    <mergeCell ref="P20:R20"/>
    <mergeCell ref="P21:R21"/>
    <mergeCell ref="P35:R35"/>
    <mergeCell ref="P36:R36"/>
    <mergeCell ref="P37:R37"/>
    <mergeCell ref="P38:R38"/>
    <mergeCell ref="P39:R39"/>
    <mergeCell ref="P40:R40"/>
    <mergeCell ref="P41:R41"/>
    <mergeCell ref="P26:R26"/>
    <mergeCell ref="P27:R27"/>
    <mergeCell ref="P28:R28"/>
    <mergeCell ref="P29:R29"/>
    <mergeCell ref="P30:R30"/>
    <mergeCell ref="P31:R31"/>
    <mergeCell ref="P32:R32"/>
    <mergeCell ref="P33:R33"/>
    <mergeCell ref="P34:R34"/>
  </mergeCells>
  <pageMargins left="0.59055118110236227" right="0.70866141732283472" top="1.1811023622047245" bottom="0.74803149606299213" header="0.31496062992125984" footer="0.31496062992125984"/>
  <pageSetup paperSize="14" scale="73" orientation="portrait" r:id="rId1"/>
  <headerFooter>
    <oddHeader xml:space="preserve">&amp;R&amp;"Century Gothic,Bold"&amp;14ANNEX A: 
SAMPLE PACKAGE COMPUTATION
</oddHeader>
  </headerFooter>
  <colBreaks count="1" manualBreakCount="1">
    <brk id="9" max="77"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U123"/>
  <sheetViews>
    <sheetView showGridLines="0" showZeros="0" view="pageLayout" topLeftCell="A100" zoomScaleNormal="100" zoomScaleSheetLayoutView="85" workbookViewId="0">
      <selection activeCell="A113" sqref="A113:U113"/>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48"/>
      <c r="E21" s="1474"/>
      <c r="F21" s="1349"/>
      <c r="G21" s="50" t="s">
        <v>136</v>
      </c>
      <c r="H21" s="51"/>
      <c r="I21" s="52"/>
      <c r="J21" s="1330" t="str">
        <f>FORM!I14</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t="e">
        <f>'STANDARD COMP.'!#REF!</f>
        <v>#REF!</v>
      </c>
      <c r="E24" s="1336"/>
      <c r="F24" s="1337"/>
      <c r="G24" s="50" t="s">
        <v>142</v>
      </c>
      <c r="H24" s="51"/>
      <c r="I24" s="52"/>
      <c r="J24" s="1338">
        <f>'SPOT EQUITY_30DAYS'!E12</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62"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419">
        <f>DEFERRED!F13</f>
        <v>832787.56226250005</v>
      </c>
      <c r="J27" s="1420"/>
      <c r="K27" s="1420"/>
      <c r="L27" s="1420"/>
      <c r="M27" s="1420"/>
      <c r="N27" s="1420"/>
      <c r="O27" s="1420"/>
      <c r="P27" s="1420"/>
      <c r="Q27" s="1420"/>
      <c r="R27" s="1420"/>
      <c r="S27" s="1420"/>
      <c r="T27" s="1420"/>
      <c r="U27" s="1421"/>
    </row>
    <row r="28" spans="1:21" ht="14" x14ac:dyDescent="0.3">
      <c r="A28" s="50" t="s">
        <v>147</v>
      </c>
      <c r="B28" s="51"/>
      <c r="C28" s="53"/>
      <c r="D28" s="53"/>
      <c r="E28" s="53"/>
      <c r="F28" s="53"/>
      <c r="G28" s="53"/>
      <c r="H28" s="54"/>
      <c r="I28" s="1419">
        <f>DEFERRED!F15</f>
        <v>0</v>
      </c>
      <c r="J28" s="1420"/>
      <c r="K28" s="1420"/>
      <c r="L28" s="1420"/>
      <c r="M28" s="1420"/>
      <c r="N28" s="1420"/>
      <c r="O28" s="1420"/>
      <c r="P28" s="1420"/>
      <c r="Q28" s="1420"/>
      <c r="R28" s="1420"/>
      <c r="S28" s="1420"/>
      <c r="T28" s="1420"/>
      <c r="U28" s="1421"/>
    </row>
    <row r="29" spans="1:21" ht="14" x14ac:dyDescent="0.3">
      <c r="A29" s="60" t="s">
        <v>81</v>
      </c>
      <c r="B29" s="61"/>
      <c r="C29" s="62"/>
      <c r="D29" s="62"/>
      <c r="E29" s="62"/>
      <c r="F29" s="62"/>
      <c r="G29" s="62"/>
      <c r="H29" s="59"/>
      <c r="I29" s="1419">
        <f>DEFERRED!F16</f>
        <v>832787.56226250005</v>
      </c>
      <c r="J29" s="1420"/>
      <c r="K29" s="1420"/>
      <c r="L29" s="1420"/>
      <c r="M29" s="1420"/>
      <c r="N29" s="1420"/>
      <c r="O29" s="1420"/>
      <c r="P29" s="1420"/>
      <c r="Q29" s="1420"/>
      <c r="R29" s="1420"/>
      <c r="S29" s="1420"/>
      <c r="T29" s="1420"/>
      <c r="U29" s="1421"/>
    </row>
    <row r="30" spans="1:21" ht="14" x14ac:dyDescent="0.3">
      <c r="A30" s="50" t="s">
        <v>148</v>
      </c>
      <c r="B30" s="51"/>
      <c r="C30" s="53"/>
      <c r="D30" s="53"/>
      <c r="E30" s="53"/>
      <c r="F30" s="53"/>
      <c r="G30" s="53"/>
      <c r="H30" s="54"/>
      <c r="I30" s="1419">
        <f>DEFERRED!F19</f>
        <v>62459.0671696875</v>
      </c>
      <c r="J30" s="1420"/>
      <c r="K30" s="1420"/>
      <c r="L30" s="1420"/>
      <c r="M30" s="1420"/>
      <c r="N30" s="1420"/>
      <c r="O30" s="1420"/>
      <c r="P30" s="1420"/>
      <c r="Q30" s="1420"/>
      <c r="R30" s="1420"/>
      <c r="S30" s="1420"/>
      <c r="T30" s="1420"/>
      <c r="U30" s="1421"/>
    </row>
    <row r="31" spans="1:21" ht="14" x14ac:dyDescent="0.3">
      <c r="A31" s="50" t="s">
        <v>149</v>
      </c>
      <c r="B31" s="51"/>
      <c r="C31" s="53"/>
      <c r="D31" s="53"/>
      <c r="E31" s="53"/>
      <c r="F31" s="53"/>
      <c r="G31" s="53"/>
      <c r="H31" s="54"/>
      <c r="I31" s="1419">
        <f>DEFERRED!F18</f>
        <v>99934.507471500008</v>
      </c>
      <c r="J31" s="1420"/>
      <c r="K31" s="1420"/>
      <c r="L31" s="1420"/>
      <c r="M31" s="1420"/>
      <c r="N31" s="1420"/>
      <c r="O31" s="1420"/>
      <c r="P31" s="1420"/>
      <c r="Q31" s="1420"/>
      <c r="R31" s="1420"/>
      <c r="S31" s="1420"/>
      <c r="T31" s="1420"/>
      <c r="U31" s="1421"/>
    </row>
    <row r="32" spans="1:21" ht="14" x14ac:dyDescent="0.3">
      <c r="A32" s="50" t="s">
        <v>150</v>
      </c>
      <c r="B32" s="51"/>
      <c r="C32" s="53"/>
      <c r="D32" s="53"/>
      <c r="E32" s="53"/>
      <c r="F32" s="53"/>
      <c r="G32" s="53"/>
      <c r="H32" s="54"/>
      <c r="I32" s="1419">
        <f>DEFERRED!F21</f>
        <v>995181.1369036875</v>
      </c>
      <c r="J32" s="1420"/>
      <c r="K32" s="1420"/>
      <c r="L32" s="1420"/>
      <c r="M32" s="1420"/>
      <c r="N32" s="1420"/>
      <c r="O32" s="1420"/>
      <c r="P32" s="1420"/>
      <c r="Q32" s="1420"/>
      <c r="R32" s="1420"/>
      <c r="S32" s="1420"/>
      <c r="T32" s="1420"/>
      <c r="U32" s="1421"/>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372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3730"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7373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373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373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373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373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373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3737"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73738"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7373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374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374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374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374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374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374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374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374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9"/>
  <dimension ref="A1:BM112"/>
  <sheetViews>
    <sheetView showGridLines="0" showZeros="0" showRuler="0" view="pageLayout" topLeftCell="A4" zoomScale="85" zoomScaleNormal="90" zoomScaleSheetLayoutView="80" zoomScalePageLayoutView="85" workbookViewId="0">
      <selection activeCell="F17" sqref="F17"/>
    </sheetView>
  </sheetViews>
  <sheetFormatPr defaultColWidth="9.1796875" defaultRowHeight="13.5" x14ac:dyDescent="0.25"/>
  <cols>
    <col min="1" max="1" width="1.1796875" style="22" customWidth="1"/>
    <col min="2" max="2" width="12" style="22" customWidth="1"/>
    <col min="3" max="3" width="28.1796875" style="22" customWidth="1"/>
    <col min="4" max="4" width="21" style="29" customWidth="1"/>
    <col min="5" max="5" width="19.81640625" style="22" customWidth="1"/>
    <col min="6" max="6" width="17.1796875" style="22" customWidth="1"/>
    <col min="7" max="7" width="18.81640625" style="22" customWidth="1"/>
    <col min="8" max="8" width="11.1796875" style="22" customWidth="1"/>
    <col min="9" max="9" width="7" style="22" customWidth="1"/>
    <col min="10" max="10" width="0.81640625" style="22" customWidth="1"/>
    <col min="11" max="11" width="9.1796875" style="22"/>
    <col min="12" max="12" width="26" style="22" customWidth="1"/>
    <col min="13" max="13" width="22.1796875" style="307" customWidth="1"/>
    <col min="14" max="14" width="12.1796875" style="22" customWidth="1"/>
    <col min="15" max="15" width="16.54296875" style="22" customWidth="1"/>
    <col min="16" max="16" width="21.1796875" style="22" customWidth="1"/>
    <col min="17" max="17" width="27.1796875" style="22" customWidth="1"/>
    <col min="18" max="18" width="0.1796875" style="22" customWidth="1"/>
    <col min="19" max="19" width="0.81640625" style="22" customWidth="1"/>
    <col min="20" max="20" width="7.81640625" style="22" customWidth="1"/>
    <col min="21" max="21" width="24" style="22" customWidth="1"/>
    <col min="22" max="22" width="4.54296875" style="22" customWidth="1"/>
    <col min="23" max="23" width="18.453125" style="22" customWidth="1"/>
    <col min="24" max="24" width="8.1796875" style="22" customWidth="1"/>
    <col min="25" max="25" width="9.81640625" style="22" customWidth="1"/>
    <col min="26" max="26" width="14.453125" style="22" customWidth="1"/>
    <col min="27" max="27" width="7.54296875" style="22" customWidth="1"/>
    <col min="28" max="28" width="17.81640625" style="22" customWidth="1"/>
    <col min="29" max="29" width="18.453125" style="22" customWidth="1"/>
    <col min="30" max="30" width="3" style="22" customWidth="1"/>
    <col min="31" max="31" width="4.453125" style="22" customWidth="1"/>
    <col min="32" max="34" width="9.1796875" style="22"/>
    <col min="35" max="35" width="9.1796875" style="22" customWidth="1"/>
    <col min="36" max="37" width="9.1796875" style="22" hidden="1" customWidth="1"/>
    <col min="38" max="16384" width="9.1796875" style="22"/>
  </cols>
  <sheetData>
    <row r="1" spans="1:65" s="27" customFormat="1" ht="22.5" x14ac:dyDescent="0.25">
      <c r="B1" s="258" t="s">
        <v>2</v>
      </c>
      <c r="C1" s="502">
        <f>FORM!I20</f>
        <v>45901</v>
      </c>
      <c r="D1" s="103"/>
      <c r="E1" s="105"/>
      <c r="F1" s="268" t="s">
        <v>91</v>
      </c>
      <c r="G1" s="1560" t="s">
        <v>98</v>
      </c>
      <c r="H1" s="1560"/>
      <c r="I1" s="1560"/>
      <c r="J1" s="25"/>
      <c r="K1" s="286" t="s">
        <v>2</v>
      </c>
      <c r="L1" s="503">
        <f>C1</f>
        <v>45901</v>
      </c>
      <c r="M1" s="92"/>
      <c r="O1" s="287"/>
      <c r="P1" s="93" t="s">
        <v>92</v>
      </c>
      <c r="Q1" s="288" t="s">
        <v>99</v>
      </c>
      <c r="S1" s="1605" t="s">
        <v>2</v>
      </c>
      <c r="T1" s="1605"/>
      <c r="U1" s="1600">
        <f>L1</f>
        <v>45901</v>
      </c>
      <c r="V1" s="1600"/>
      <c r="W1" s="91"/>
      <c r="Y1" s="287"/>
      <c r="Z1" s="1599" t="s">
        <v>92</v>
      </c>
      <c r="AA1" s="1599"/>
      <c r="AB1" s="1600" t="s">
        <v>100</v>
      </c>
      <c r="AC1" s="1600"/>
      <c r="AD1" s="1600"/>
    </row>
    <row r="2" spans="1:65" s="27" customFormat="1" ht="7.5" customHeight="1" x14ac:dyDescent="0.25">
      <c r="B2" s="105"/>
      <c r="C2" s="106"/>
      <c r="D2" s="106"/>
      <c r="E2" s="105"/>
      <c r="F2" s="105"/>
      <c r="G2" s="105"/>
      <c r="H2" s="105"/>
      <c r="I2" s="105"/>
      <c r="K2" s="289"/>
      <c r="L2" s="289"/>
      <c r="M2" s="289"/>
      <c r="N2" s="289"/>
      <c r="O2" s="289"/>
      <c r="P2" s="289"/>
      <c r="Q2" s="289"/>
    </row>
    <row r="3" spans="1:65" s="27" customFormat="1" ht="14.25" customHeight="1" x14ac:dyDescent="0.25">
      <c r="B3" s="1214" t="s">
        <v>93</v>
      </c>
      <c r="C3" s="1214"/>
      <c r="D3" s="1214"/>
      <c r="E3" s="1214"/>
      <c r="F3" s="1214"/>
      <c r="G3" s="1214"/>
      <c r="H3" s="1214"/>
      <c r="I3" s="1214"/>
      <c r="J3" s="290"/>
      <c r="K3" s="1558" t="s">
        <v>3</v>
      </c>
      <c r="L3" s="1558"/>
      <c r="M3" s="1558"/>
      <c r="N3" s="1558"/>
      <c r="O3" s="1558"/>
      <c r="P3" s="1558"/>
      <c r="Q3" s="1558"/>
      <c r="S3" s="1558" t="s">
        <v>97</v>
      </c>
      <c r="T3" s="1558"/>
      <c r="U3" s="1558"/>
      <c r="V3" s="1558"/>
      <c r="W3" s="1558"/>
      <c r="X3" s="1558"/>
      <c r="Y3" s="1558"/>
      <c r="Z3" s="1558"/>
      <c r="AA3" s="1558"/>
      <c r="AB3" s="1558"/>
      <c r="AC3" s="1558"/>
      <c r="AD3" s="1558"/>
    </row>
    <row r="4" spans="1:65" s="27" customFormat="1" ht="12.75" customHeight="1" x14ac:dyDescent="0.25">
      <c r="B4" s="1214"/>
      <c r="C4" s="1214"/>
      <c r="D4" s="1214"/>
      <c r="E4" s="1214"/>
      <c r="F4" s="1214"/>
      <c r="G4" s="1214"/>
      <c r="H4" s="1214"/>
      <c r="I4" s="1214"/>
      <c r="J4" s="290"/>
      <c r="K4" s="1558"/>
      <c r="L4" s="1558"/>
      <c r="M4" s="1558"/>
      <c r="N4" s="1558"/>
      <c r="O4" s="1558"/>
      <c r="P4" s="1558"/>
      <c r="Q4" s="1558"/>
      <c r="S4" s="1558"/>
      <c r="T4" s="1558"/>
      <c r="U4" s="1558"/>
      <c r="V4" s="1558"/>
      <c r="W4" s="1558"/>
      <c r="X4" s="1558"/>
      <c r="Y4" s="1558"/>
      <c r="Z4" s="1558"/>
      <c r="AA4" s="1558"/>
      <c r="AB4" s="1558"/>
      <c r="AC4" s="1558"/>
      <c r="AD4" s="1558"/>
    </row>
    <row r="5" spans="1:65" s="27" customFormat="1" ht="12.75" customHeight="1" x14ac:dyDescent="0.25">
      <c r="B5" s="266"/>
      <c r="C5" s="266"/>
      <c r="D5" s="367"/>
      <c r="E5" s="116"/>
      <c r="F5" s="116"/>
      <c r="G5" s="116"/>
      <c r="H5" s="116"/>
      <c r="I5" s="116"/>
      <c r="J5" s="291"/>
      <c r="K5" s="292"/>
      <c r="L5" s="293"/>
      <c r="M5" s="294"/>
      <c r="N5" s="293"/>
      <c r="O5" s="293"/>
      <c r="P5" s="293"/>
      <c r="Q5" s="294"/>
    </row>
    <row r="6" spans="1:65" x14ac:dyDescent="0.25">
      <c r="A6" s="24"/>
      <c r="B6" s="150" t="str">
        <f>DEFERRED!B6</f>
        <v>CLIENT'S NAME</v>
      </c>
      <c r="C6" s="117"/>
      <c r="D6" s="257" t="s">
        <v>5</v>
      </c>
      <c r="E6" s="1439" t="str">
        <f>FORM!I26</f>
        <v>buyer</v>
      </c>
      <c r="F6" s="1440"/>
      <c r="G6" s="1440"/>
      <c r="H6" s="1440"/>
      <c r="I6" s="1441"/>
      <c r="J6" s="9"/>
      <c r="K6" s="296" t="str">
        <f>B6</f>
        <v>CLIENT'S NAME</v>
      </c>
      <c r="L6" s="297"/>
      <c r="M6" s="19" t="s">
        <v>5</v>
      </c>
      <c r="N6" s="1559" t="str">
        <f>E6</f>
        <v>buyer</v>
      </c>
      <c r="O6" s="1559"/>
      <c r="P6" s="1559"/>
      <c r="Q6" s="1559"/>
      <c r="S6" s="296" t="s">
        <v>4</v>
      </c>
      <c r="T6" s="296"/>
      <c r="U6" s="296"/>
      <c r="V6" s="296"/>
      <c r="W6" s="29" t="s">
        <v>5</v>
      </c>
      <c r="X6" s="1601" t="str">
        <f t="shared" ref="X6:X11" si="0">N6</f>
        <v>buyer</v>
      </c>
      <c r="Y6" s="1602"/>
      <c r="Z6" s="1602"/>
      <c r="AA6" s="1602"/>
      <c r="AB6" s="1602"/>
      <c r="AC6" s="1602"/>
      <c r="AD6" s="1603"/>
      <c r="AY6" s="298"/>
      <c r="BL6" s="299"/>
      <c r="BM6" s="300"/>
    </row>
    <row r="7" spans="1:65" x14ac:dyDescent="0.25">
      <c r="A7" s="24"/>
      <c r="B7" s="150" t="str">
        <f>DEFERRED!B7</f>
        <v>PROJECT NAME</v>
      </c>
      <c r="C7" s="118"/>
      <c r="D7" s="257" t="s">
        <v>5</v>
      </c>
      <c r="E7" s="1439" t="str">
        <f>FORM!I11</f>
        <v>The Southprime Flats</v>
      </c>
      <c r="F7" s="1440"/>
      <c r="G7" s="1440"/>
      <c r="H7" s="1440"/>
      <c r="I7" s="1441"/>
      <c r="J7" s="9"/>
      <c r="K7" s="296" t="str">
        <f t="shared" ref="K7:K11" si="1">B7</f>
        <v>PROJECT NAME</v>
      </c>
      <c r="L7" s="302"/>
      <c r="M7" s="19" t="s">
        <v>5</v>
      </c>
      <c r="N7" s="1559" t="str">
        <f>E7</f>
        <v>The Southprime Flats</v>
      </c>
      <c r="O7" s="1559"/>
      <c r="P7" s="1559"/>
      <c r="Q7" s="1559"/>
      <c r="S7" s="296" t="s">
        <v>6</v>
      </c>
      <c r="T7" s="296"/>
      <c r="U7" s="296"/>
      <c r="V7" s="296"/>
      <c r="W7" s="29" t="s">
        <v>5</v>
      </c>
      <c r="X7" s="1601" t="str">
        <f t="shared" si="0"/>
        <v>The Southprime Flats</v>
      </c>
      <c r="Y7" s="1602"/>
      <c r="Z7" s="1602"/>
      <c r="AA7" s="1602"/>
      <c r="AB7" s="1602"/>
      <c r="AC7" s="1602"/>
      <c r="AD7" s="1603"/>
      <c r="AY7" s="298"/>
      <c r="BL7" s="299"/>
      <c r="BM7" s="300"/>
    </row>
    <row r="8" spans="1:65" x14ac:dyDescent="0.25">
      <c r="A8" s="24"/>
      <c r="B8" s="150" t="str">
        <f>DEFERRED!B8</f>
        <v>PARKING SLOT NUMBER</v>
      </c>
      <c r="C8" s="118"/>
      <c r="D8" s="257" t="s">
        <v>5</v>
      </c>
      <c r="E8" s="1439" t="str">
        <f>'STANDARD COMP.'!E8</f>
        <v>GF-B1-12</v>
      </c>
      <c r="F8" s="1440"/>
      <c r="G8" s="1440"/>
      <c r="H8" s="1440"/>
      <c r="I8" s="1441"/>
      <c r="J8" s="9"/>
      <c r="K8" s="296" t="str">
        <f t="shared" si="1"/>
        <v>PARKING SLOT NUMBER</v>
      </c>
      <c r="L8" s="302"/>
      <c r="M8" s="19" t="s">
        <v>5</v>
      </c>
      <c r="N8" s="1559" t="str">
        <f>E8</f>
        <v>GF-B1-12</v>
      </c>
      <c r="O8" s="1559"/>
      <c r="P8" s="1559"/>
      <c r="Q8" s="1559"/>
      <c r="S8" s="296" t="s">
        <v>7</v>
      </c>
      <c r="T8" s="296"/>
      <c r="U8" s="296"/>
      <c r="V8" s="296"/>
      <c r="W8" s="29" t="s">
        <v>5</v>
      </c>
      <c r="X8" s="1601" t="str">
        <f t="shared" si="0"/>
        <v>GF-B1-12</v>
      </c>
      <c r="Y8" s="1602"/>
      <c r="Z8" s="1602"/>
      <c r="AA8" s="1602"/>
      <c r="AB8" s="1602"/>
      <c r="AC8" s="1602"/>
      <c r="AD8" s="1603"/>
      <c r="AY8" s="298"/>
      <c r="BL8" s="299"/>
      <c r="BM8" s="300"/>
    </row>
    <row r="9" spans="1:65" x14ac:dyDescent="0.25">
      <c r="A9" s="24"/>
      <c r="B9" s="150" t="str">
        <f>DEFERRED!B9</f>
        <v>BUILDING</v>
      </c>
      <c r="C9" s="118"/>
      <c r="D9" s="257" t="s">
        <v>5</v>
      </c>
      <c r="E9" s="1439" t="str">
        <f>'STANDARD COMP.'!N9</f>
        <v>Building 1</v>
      </c>
      <c r="F9" s="1440"/>
      <c r="G9" s="1440"/>
      <c r="H9" s="1440"/>
      <c r="I9" s="1441"/>
      <c r="J9" s="9"/>
      <c r="K9" s="296" t="str">
        <f t="shared" si="1"/>
        <v>BUILDING</v>
      </c>
      <c r="L9" s="302"/>
      <c r="M9" s="19" t="s">
        <v>5</v>
      </c>
      <c r="N9" s="1559" t="e">
        <f>FORM!#REF!</f>
        <v>#REF!</v>
      </c>
      <c r="O9" s="1559"/>
      <c r="P9" s="1559"/>
      <c r="Q9" s="1559"/>
      <c r="S9" s="296" t="s">
        <v>8</v>
      </c>
      <c r="T9" s="296"/>
      <c r="U9" s="296"/>
      <c r="V9" s="296"/>
      <c r="W9" s="29" t="s">
        <v>5</v>
      </c>
      <c r="X9" s="1601" t="e">
        <f t="shared" si="0"/>
        <v>#REF!</v>
      </c>
      <c r="Y9" s="1602"/>
      <c r="Z9" s="1602"/>
      <c r="AA9" s="1602"/>
      <c r="AB9" s="1602"/>
      <c r="AC9" s="1602"/>
      <c r="AD9" s="1603"/>
      <c r="AY9" s="298"/>
      <c r="BL9" s="299"/>
      <c r="BM9" s="300"/>
    </row>
    <row r="10" spans="1:65" x14ac:dyDescent="0.25">
      <c r="A10" s="24"/>
      <c r="B10" s="150" t="str">
        <f>DEFERRED!B10</f>
        <v>PARKING MODEL</v>
      </c>
      <c r="C10" s="118"/>
      <c r="D10" s="257" t="s">
        <v>5</v>
      </c>
      <c r="E10" s="1439" t="str">
        <f>'STANDARD COMP.'!E10</f>
        <v>Single Slot</v>
      </c>
      <c r="F10" s="1440"/>
      <c r="G10" s="1440"/>
      <c r="H10" s="1440"/>
      <c r="I10" s="1441"/>
      <c r="J10" s="9"/>
      <c r="K10" s="296" t="str">
        <f t="shared" si="1"/>
        <v>PARKING MODEL</v>
      </c>
      <c r="L10" s="302"/>
      <c r="M10" s="19" t="s">
        <v>5</v>
      </c>
      <c r="N10" s="1559" t="str">
        <f>E10</f>
        <v>Single Slot</v>
      </c>
      <c r="O10" s="1559"/>
      <c r="P10" s="1559"/>
      <c r="Q10" s="1559"/>
      <c r="S10" s="296" t="s">
        <v>9</v>
      </c>
      <c r="T10" s="296"/>
      <c r="U10" s="296"/>
      <c r="V10" s="296"/>
      <c r="W10" s="29" t="s">
        <v>5</v>
      </c>
      <c r="X10" s="1601" t="str">
        <f t="shared" si="0"/>
        <v>Single Slot</v>
      </c>
      <c r="Y10" s="1602"/>
      <c r="Z10" s="1602"/>
      <c r="AA10" s="1602"/>
      <c r="AB10" s="1602"/>
      <c r="AC10" s="1602"/>
      <c r="AD10" s="1603"/>
      <c r="AY10" s="298"/>
      <c r="BL10" s="299"/>
      <c r="BM10" s="300"/>
    </row>
    <row r="11" spans="1:65" x14ac:dyDescent="0.25">
      <c r="A11" s="24"/>
      <c r="B11" s="150" t="str">
        <f>DEFERRED!B11</f>
        <v>TOTAL AREA</v>
      </c>
      <c r="C11" s="118"/>
      <c r="D11" s="257" t="s">
        <v>5</v>
      </c>
      <c r="E11" s="1573">
        <f>'STANDARD COMP.'!E11:F11</f>
        <v>13.5</v>
      </c>
      <c r="F11" s="1574"/>
      <c r="G11" s="1585" t="s">
        <v>11</v>
      </c>
      <c r="H11" s="1585"/>
      <c r="I11" s="1586"/>
      <c r="J11" s="9"/>
      <c r="K11" s="296" t="str">
        <f t="shared" si="1"/>
        <v>TOTAL AREA</v>
      </c>
      <c r="L11" s="302"/>
      <c r="M11" s="19" t="s">
        <v>5</v>
      </c>
      <c r="N11" s="1587">
        <f>E11</f>
        <v>13.5</v>
      </c>
      <c r="O11" s="1588"/>
      <c r="P11" s="1589" t="s">
        <v>11</v>
      </c>
      <c r="Q11" s="1590"/>
      <c r="S11" s="296" t="s">
        <v>10</v>
      </c>
      <c r="T11" s="296"/>
      <c r="U11" s="296"/>
      <c r="V11" s="296"/>
      <c r="W11" s="29" t="s">
        <v>5</v>
      </c>
      <c r="X11" s="1587">
        <f t="shared" si="0"/>
        <v>13.5</v>
      </c>
      <c r="Y11" s="1604"/>
      <c r="Z11" s="303" t="s">
        <v>11</v>
      </c>
      <c r="AA11" s="303"/>
      <c r="AB11" s="304"/>
      <c r="AC11" s="304"/>
      <c r="AD11" s="305"/>
      <c r="AY11" s="298"/>
      <c r="BL11" s="299"/>
      <c r="BM11" s="300"/>
    </row>
    <row r="12" spans="1:65" x14ac:dyDescent="0.25">
      <c r="A12" s="26"/>
      <c r="B12" s="94"/>
      <c r="C12" s="94"/>
      <c r="D12" s="295"/>
      <c r="E12" s="94"/>
      <c r="F12" s="94"/>
      <c r="G12" s="94"/>
      <c r="H12" s="94"/>
      <c r="I12" s="94"/>
    </row>
    <row r="13" spans="1:65" ht="14" x14ac:dyDescent="0.3">
      <c r="A13" s="26"/>
      <c r="B13" s="2" t="s">
        <v>16</v>
      </c>
      <c r="C13" s="1"/>
      <c r="D13" s="5" t="s">
        <v>5</v>
      </c>
      <c r="E13" s="308"/>
      <c r="F13" s="1564">
        <f>'STANDARD COMP.'!F13</f>
        <v>832787.56226250005</v>
      </c>
      <c r="G13" s="1564"/>
      <c r="H13" s="1564"/>
      <c r="I13" s="1565"/>
      <c r="J13" s="21"/>
      <c r="K13" s="1572" t="s">
        <v>12</v>
      </c>
      <c r="L13" s="1572"/>
      <c r="M13" s="1566" t="s">
        <v>13</v>
      </c>
      <c r="N13" s="1572" t="s">
        <v>14</v>
      </c>
      <c r="O13" s="1572"/>
      <c r="P13" s="1595" t="s">
        <v>15</v>
      </c>
      <c r="Q13" s="1596"/>
      <c r="S13" s="1569" t="s">
        <v>116</v>
      </c>
      <c r="T13" s="1570"/>
      <c r="U13" s="1570"/>
      <c r="V13" s="1570"/>
      <c r="W13" s="1570"/>
      <c r="X13" s="1570"/>
      <c r="Y13" s="1570"/>
      <c r="Z13" s="1570"/>
      <c r="AA13" s="1570"/>
      <c r="AB13" s="1570"/>
      <c r="AC13" s="1570"/>
      <c r="AD13" s="1571"/>
    </row>
    <row r="14" spans="1:65" s="21" customFormat="1" ht="14" x14ac:dyDescent="0.3">
      <c r="A14" s="309"/>
      <c r="B14" s="1363" t="s">
        <v>76</v>
      </c>
      <c r="C14" s="1363"/>
      <c r="D14" s="5" t="s">
        <v>5</v>
      </c>
      <c r="E14" s="308"/>
      <c r="F14" s="1567">
        <f>(F13-F15)*E23*E14</f>
        <v>0</v>
      </c>
      <c r="G14" s="1567"/>
      <c r="H14" s="1567"/>
      <c r="I14" s="1568"/>
      <c r="J14" s="22"/>
      <c r="K14" s="1572"/>
      <c r="L14" s="1572"/>
      <c r="M14" s="1566"/>
      <c r="N14" s="1572"/>
      <c r="O14" s="1572"/>
      <c r="P14" s="1597"/>
      <c r="Q14" s="1598"/>
      <c r="S14" s="311" t="s">
        <v>102</v>
      </c>
      <c r="T14" s="312"/>
      <c r="U14" s="313"/>
      <c r="V14" s="313"/>
      <c r="W14" s="313"/>
      <c r="X14" s="312" t="s">
        <v>106</v>
      </c>
      <c r="Y14" s="313"/>
      <c r="Z14" s="313"/>
      <c r="AA14" s="313"/>
      <c r="AB14" s="313"/>
      <c r="AC14" s="313"/>
      <c r="AD14" s="314"/>
    </row>
    <row r="15" spans="1:65" s="317" customFormat="1" ht="11.5" x14ac:dyDescent="0.25">
      <c r="B15" s="301" t="s">
        <v>167</v>
      </c>
      <c r="C15" s="306"/>
      <c r="D15" s="295" t="s">
        <v>5</v>
      </c>
      <c r="E15" s="310"/>
      <c r="F15" s="1567">
        <f>'STANDARD COMP.'!F14:I14</f>
        <v>0</v>
      </c>
      <c r="G15" s="1567"/>
      <c r="H15" s="1567"/>
      <c r="I15" s="1568"/>
      <c r="J15" s="23"/>
      <c r="K15" s="1559" t="s">
        <v>17</v>
      </c>
      <c r="L15" s="1559"/>
      <c r="M15" s="495">
        <f>C1</f>
        <v>45901</v>
      </c>
      <c r="N15" s="1561">
        <f>F24</f>
        <v>10000</v>
      </c>
      <c r="O15" s="1561"/>
      <c r="P15" s="513"/>
      <c r="Q15" s="514"/>
      <c r="S15" s="318"/>
      <c r="T15" s="319"/>
      <c r="U15" s="319"/>
      <c r="V15" s="319"/>
      <c r="W15" s="319"/>
      <c r="X15" s="319"/>
      <c r="Y15" s="319"/>
      <c r="Z15" s="319"/>
      <c r="AA15" s="319"/>
      <c r="AB15" s="319"/>
      <c r="AC15" s="319"/>
      <c r="AD15" s="320"/>
    </row>
    <row r="16" spans="1:65" s="23" customFormat="1" ht="11.5" x14ac:dyDescent="0.25">
      <c r="B16" s="86" t="s">
        <v>19</v>
      </c>
      <c r="C16" s="3"/>
      <c r="D16" s="5" t="s">
        <v>5</v>
      </c>
      <c r="E16" s="315"/>
      <c r="F16" s="1563">
        <f>F13-F14-F15</f>
        <v>832787.56226250005</v>
      </c>
      <c r="G16" s="1564"/>
      <c r="H16" s="1564"/>
      <c r="I16" s="1565"/>
      <c r="J16" s="317"/>
      <c r="K16" s="1559" t="str">
        <f>'STANDARD COMP.'!K16:L16</f>
        <v>1st EQUITY PAYMENT</v>
      </c>
      <c r="L16" s="1559"/>
      <c r="M16" s="493">
        <f>'STANDARD COMP.'!M16</f>
        <v>45935</v>
      </c>
      <c r="N16" s="1561"/>
      <c r="O16" s="1561"/>
      <c r="P16" s="513"/>
      <c r="Q16" s="514"/>
      <c r="S16" s="324"/>
      <c r="T16" s="317"/>
      <c r="U16" s="317"/>
      <c r="V16" s="317"/>
      <c r="W16" s="325" t="s">
        <v>104</v>
      </c>
      <c r="X16" s="372"/>
      <c r="Y16" s="372"/>
      <c r="Z16" s="372"/>
      <c r="AA16" s="372"/>
      <c r="AB16" s="372"/>
      <c r="AC16" s="372"/>
      <c r="AD16" s="326"/>
      <c r="AJ16" s="327"/>
      <c r="AK16" s="327"/>
    </row>
    <row r="17" spans="1:43" s="317" customFormat="1" ht="12" x14ac:dyDescent="0.3">
      <c r="B17" s="321"/>
      <c r="C17" s="94"/>
      <c r="D17" s="295"/>
      <c r="E17" s="368"/>
      <c r="F17" s="322"/>
      <c r="G17" s="322"/>
      <c r="H17" s="322"/>
      <c r="I17" s="323"/>
      <c r="K17" s="1559">
        <f>'STANDARD COMP.'!K17:L17</f>
        <v>0</v>
      </c>
      <c r="L17" s="1559"/>
      <c r="M17" s="493" t="str">
        <f>'STANDARD COMP.'!M17</f>
        <v/>
      </c>
      <c r="N17" s="1561"/>
      <c r="O17" s="1561"/>
      <c r="P17" s="513"/>
      <c r="Q17" s="514"/>
      <c r="S17" s="324"/>
      <c r="W17" s="325"/>
      <c r="X17" s="370"/>
      <c r="Y17" s="370"/>
      <c r="Z17" s="370"/>
      <c r="AA17" s="370"/>
      <c r="AB17" s="372"/>
      <c r="AC17" s="370"/>
      <c r="AD17" s="326"/>
      <c r="AJ17" s="1577" t="s">
        <v>20</v>
      </c>
      <c r="AK17" s="1577"/>
      <c r="AP17" s="1559"/>
      <c r="AQ17" s="1559"/>
    </row>
    <row r="18" spans="1:43" s="317" customFormat="1" ht="12" x14ac:dyDescent="0.3">
      <c r="B18" s="306" t="s">
        <v>23</v>
      </c>
      <c r="C18" s="306"/>
      <c r="D18" s="295" t="s">
        <v>5</v>
      </c>
      <c r="E18" s="328">
        <v>0.12</v>
      </c>
      <c r="F18" s="1582">
        <f>F16*E18</f>
        <v>99934.507471500008</v>
      </c>
      <c r="G18" s="1567"/>
      <c r="H18" s="1567"/>
      <c r="I18" s="1568"/>
      <c r="K18" s="1559">
        <f>'STANDARD COMP.'!K18:L18</f>
        <v>0</v>
      </c>
      <c r="L18" s="1559"/>
      <c r="M18" s="493" t="str">
        <f>'STANDARD COMP.'!M18</f>
        <v/>
      </c>
      <c r="N18" s="1561"/>
      <c r="O18" s="1561"/>
      <c r="P18" s="513"/>
      <c r="Q18" s="514"/>
      <c r="S18" s="324"/>
      <c r="T18" s="1579"/>
      <c r="U18" s="1579"/>
      <c r="W18" s="317" t="s">
        <v>105</v>
      </c>
      <c r="X18" s="372"/>
      <c r="Y18" s="372"/>
      <c r="Z18" s="372"/>
      <c r="AA18" s="372"/>
      <c r="AB18" s="372"/>
      <c r="AC18" s="372"/>
      <c r="AD18" s="326"/>
      <c r="AJ18" s="1577" t="s">
        <v>21</v>
      </c>
      <c r="AK18" s="1577"/>
      <c r="AL18" s="317" t="s">
        <v>1</v>
      </c>
      <c r="AP18" s="1559"/>
      <c r="AQ18" s="1559"/>
    </row>
    <row r="19" spans="1:43" s="317" customFormat="1" ht="12" x14ac:dyDescent="0.3">
      <c r="B19" s="87" t="s">
        <v>25</v>
      </c>
      <c r="C19" s="330"/>
      <c r="D19" s="295" t="s">
        <v>5</v>
      </c>
      <c r="E19" s="331">
        <v>0.1</v>
      </c>
      <c r="F19" s="1583">
        <f>F13*E19</f>
        <v>83278.756226250014</v>
      </c>
      <c r="G19" s="1583"/>
      <c r="H19" s="1583"/>
      <c r="I19" s="1584"/>
      <c r="K19" s="1559">
        <f>'STANDARD COMP.'!K19:L19</f>
        <v>0</v>
      </c>
      <c r="L19" s="1559"/>
      <c r="M19" s="493" t="str">
        <f>'STANDARD COMP.'!M19</f>
        <v/>
      </c>
      <c r="N19" s="1561"/>
      <c r="O19" s="1561"/>
      <c r="P19" s="513"/>
      <c r="Q19" s="514"/>
      <c r="S19" s="332"/>
      <c r="T19" s="1562" t="s">
        <v>101</v>
      </c>
      <c r="U19" s="1562"/>
      <c r="V19" s="333"/>
      <c r="W19" s="23"/>
      <c r="X19" s="349" t="s">
        <v>1</v>
      </c>
      <c r="Y19" s="349"/>
      <c r="Z19" s="349"/>
      <c r="AA19" s="349"/>
      <c r="AD19" s="335"/>
      <c r="AJ19" s="1577" t="s">
        <v>22</v>
      </c>
      <c r="AK19" s="1577"/>
      <c r="AP19" s="1559"/>
      <c r="AQ19" s="1559"/>
    </row>
    <row r="20" spans="1:43" s="317" customFormat="1" ht="12" x14ac:dyDescent="0.3">
      <c r="B20" s="321"/>
      <c r="C20" s="94"/>
      <c r="D20" s="295"/>
      <c r="E20" s="336"/>
      <c r="F20" s="337"/>
      <c r="G20" s="18"/>
      <c r="H20" s="18"/>
      <c r="I20" s="338"/>
      <c r="K20" s="1559">
        <f>'STANDARD COMP.'!K20:L20</f>
        <v>0</v>
      </c>
      <c r="L20" s="1559"/>
      <c r="M20" s="493" t="str">
        <f>'STANDARD COMP.'!M20</f>
        <v/>
      </c>
      <c r="N20" s="1561"/>
      <c r="O20" s="1561"/>
      <c r="P20" s="513"/>
      <c r="Q20" s="514"/>
      <c r="S20" s="339" t="s">
        <v>103</v>
      </c>
      <c r="T20" s="340"/>
      <c r="U20" s="341"/>
      <c r="V20" s="341"/>
      <c r="W20" s="342"/>
      <c r="X20" s="343" t="s">
        <v>106</v>
      </c>
      <c r="Y20" s="342"/>
      <c r="Z20" s="342"/>
      <c r="AA20" s="342"/>
      <c r="AB20" s="342"/>
      <c r="AC20" s="342"/>
      <c r="AD20" s="344"/>
      <c r="AJ20" s="1577" t="s">
        <v>24</v>
      </c>
      <c r="AK20" s="1577"/>
      <c r="AP20" s="1559"/>
      <c r="AQ20" s="1559"/>
    </row>
    <row r="21" spans="1:43" s="317" customFormat="1" ht="12" x14ac:dyDescent="0.3">
      <c r="A21" s="23"/>
      <c r="B21" s="86" t="s">
        <v>28</v>
      </c>
      <c r="C21" s="3"/>
      <c r="D21" s="5" t="s">
        <v>5</v>
      </c>
      <c r="E21" s="345"/>
      <c r="F21" s="1575">
        <f>SUM(F18:I19,F16)</f>
        <v>1016000.8259602501</v>
      </c>
      <c r="G21" s="1575"/>
      <c r="H21" s="1575"/>
      <c r="I21" s="1576"/>
      <c r="J21" s="23"/>
      <c r="K21" s="1559">
        <f>'STANDARD COMP.'!K21:L21</f>
        <v>0</v>
      </c>
      <c r="L21" s="1559"/>
      <c r="M21" s="493" t="str">
        <f>'STANDARD COMP.'!M21</f>
        <v/>
      </c>
      <c r="N21" s="1561"/>
      <c r="O21" s="1561"/>
      <c r="P21" s="513"/>
      <c r="Q21" s="514"/>
      <c r="S21" s="324"/>
      <c r="X21" s="371"/>
      <c r="Y21" s="371"/>
      <c r="Z21" s="371"/>
      <c r="AA21" s="371"/>
      <c r="AB21" s="371"/>
      <c r="AC21" s="371"/>
      <c r="AD21" s="326"/>
      <c r="AJ21" s="1577" t="s">
        <v>26</v>
      </c>
      <c r="AK21" s="1577"/>
      <c r="AP21" s="1559"/>
      <c r="AQ21" s="1559"/>
    </row>
    <row r="22" spans="1:43" s="23" customFormat="1" ht="12" x14ac:dyDescent="0.3">
      <c r="A22" s="317"/>
      <c r="B22" s="321"/>
      <c r="C22" s="94"/>
      <c r="D22" s="295"/>
      <c r="E22" s="295"/>
      <c r="F22" s="346"/>
      <c r="G22" s="346"/>
      <c r="H22" s="346"/>
      <c r="I22" s="94"/>
      <c r="J22" s="317"/>
      <c r="K22" s="1559">
        <f>'STANDARD COMP.'!K22:L22</f>
        <v>0</v>
      </c>
      <c r="L22" s="1559"/>
      <c r="M22" s="493" t="str">
        <f>'STANDARD COMP.'!M22</f>
        <v/>
      </c>
      <c r="N22" s="1561"/>
      <c r="O22" s="1561"/>
      <c r="P22" s="513"/>
      <c r="Q22" s="514"/>
      <c r="S22" s="324"/>
      <c r="T22" s="317"/>
      <c r="U22" s="317"/>
      <c r="V22" s="317"/>
      <c r="W22" s="325" t="s">
        <v>104</v>
      </c>
      <c r="X22" s="372"/>
      <c r="Y22" s="372"/>
      <c r="Z22" s="372"/>
      <c r="AA22" s="372"/>
      <c r="AB22" s="372"/>
      <c r="AC22" s="372"/>
      <c r="AD22" s="326"/>
      <c r="AJ22" s="1577" t="s">
        <v>27</v>
      </c>
      <c r="AK22" s="1577"/>
      <c r="AP22" s="1559"/>
      <c r="AQ22" s="1559"/>
    </row>
    <row r="23" spans="1:43" s="317" customFormat="1" ht="12" x14ac:dyDescent="0.3">
      <c r="B23" s="86" t="s">
        <v>32</v>
      </c>
      <c r="C23" s="1"/>
      <c r="D23" s="5" t="s">
        <v>5</v>
      </c>
      <c r="E23" s="347">
        <v>0.125</v>
      </c>
      <c r="F23" s="1563">
        <f>F21*E23</f>
        <v>127000.10324503126</v>
      </c>
      <c r="G23" s="1564"/>
      <c r="H23" s="1564"/>
      <c r="I23" s="1565"/>
      <c r="K23" s="1559">
        <f>'STANDARD COMP.'!K23:L23</f>
        <v>0</v>
      </c>
      <c r="L23" s="1559"/>
      <c r="M23" s="493" t="str">
        <f>'STANDARD COMP.'!M23</f>
        <v/>
      </c>
      <c r="N23" s="1561"/>
      <c r="O23" s="1561"/>
      <c r="P23" s="513"/>
      <c r="Q23" s="514"/>
      <c r="S23" s="332"/>
      <c r="T23" s="23"/>
      <c r="U23" s="23"/>
      <c r="V23" s="23"/>
      <c r="W23" s="325"/>
      <c r="X23" s="372"/>
      <c r="Y23" s="372"/>
      <c r="Z23" s="372"/>
      <c r="AA23" s="372"/>
      <c r="AB23" s="372"/>
      <c r="AC23" s="372"/>
      <c r="AD23" s="335"/>
      <c r="AJ23" s="1577" t="s">
        <v>29</v>
      </c>
      <c r="AK23" s="1577"/>
      <c r="AP23" s="1559"/>
      <c r="AQ23" s="1559"/>
    </row>
    <row r="24" spans="1:43" s="317" customFormat="1" ht="12" x14ac:dyDescent="0.3">
      <c r="A24" s="23"/>
      <c r="B24" s="301" t="s">
        <v>224</v>
      </c>
      <c r="C24" s="306"/>
      <c r="D24" s="295" t="s">
        <v>5</v>
      </c>
      <c r="E24" s="316"/>
      <c r="F24" s="1582">
        <f>'STANDARD COMP.'!F23</f>
        <v>10000</v>
      </c>
      <c r="G24" s="1567"/>
      <c r="H24" s="1567"/>
      <c r="I24" s="1568"/>
      <c r="J24" s="23"/>
      <c r="K24" s="1559">
        <f>'STANDARD COMP.'!K24:L24</f>
        <v>0</v>
      </c>
      <c r="L24" s="1559"/>
      <c r="M24" s="493" t="str">
        <f>'STANDARD COMP.'!M24</f>
        <v/>
      </c>
      <c r="N24" s="1561"/>
      <c r="O24" s="1561"/>
      <c r="P24" s="513"/>
      <c r="Q24" s="514"/>
      <c r="S24" s="324"/>
      <c r="T24" s="1579"/>
      <c r="U24" s="1579"/>
      <c r="W24" s="317" t="s">
        <v>105</v>
      </c>
      <c r="X24" s="372"/>
      <c r="Y24" s="372"/>
      <c r="Z24" s="372"/>
      <c r="AA24" s="372"/>
      <c r="AB24" s="372"/>
      <c r="AC24" s="372"/>
      <c r="AD24" s="326"/>
      <c r="AJ24" s="1577" t="s">
        <v>30</v>
      </c>
      <c r="AK24" s="1577"/>
      <c r="AP24" s="1559"/>
      <c r="AQ24" s="1559"/>
    </row>
    <row r="25" spans="1:43" s="23" customFormat="1" ht="12" x14ac:dyDescent="0.3">
      <c r="B25" s="301" t="s">
        <v>342</v>
      </c>
      <c r="C25" s="627"/>
      <c r="D25" s="295"/>
      <c r="E25" s="612">
        <v>2.5000000000000001E-2</v>
      </c>
      <c r="F25" s="624">
        <f>F21*E25</f>
        <v>25400.020649006256</v>
      </c>
      <c r="G25" s="625"/>
      <c r="H25" s="625"/>
      <c r="I25" s="626"/>
      <c r="J25" s="332"/>
      <c r="K25" s="1559">
        <f>'STANDARD COMP.'!K25:L25</f>
        <v>0</v>
      </c>
      <c r="L25" s="1559"/>
      <c r="M25" s="493" t="str">
        <f>'STANDARD COMP.'!M25</f>
        <v/>
      </c>
      <c r="N25" s="1561"/>
      <c r="O25" s="1561"/>
      <c r="P25" s="513"/>
      <c r="Q25" s="514"/>
      <c r="R25" s="23" t="s">
        <v>1</v>
      </c>
      <c r="S25" s="348"/>
      <c r="T25" s="1562" t="s">
        <v>233</v>
      </c>
      <c r="U25" s="1562"/>
      <c r="V25" s="32"/>
      <c r="W25" s="349"/>
      <c r="X25" s="334"/>
      <c r="Y25" s="334"/>
      <c r="Z25" s="334"/>
      <c r="AA25" s="334"/>
      <c r="AB25" s="349"/>
      <c r="AC25" s="349"/>
      <c r="AD25" s="350"/>
      <c r="AJ25" s="1577" t="s">
        <v>31</v>
      </c>
      <c r="AK25" s="1577"/>
      <c r="AP25" s="1559"/>
      <c r="AQ25" s="1559"/>
    </row>
    <row r="26" spans="1:43" s="23" customFormat="1" ht="12" x14ac:dyDescent="0.3">
      <c r="B26" s="86" t="s">
        <v>177</v>
      </c>
      <c r="C26" s="3"/>
      <c r="D26" s="5" t="s">
        <v>5</v>
      </c>
      <c r="E26" s="329"/>
      <c r="F26" s="1563">
        <f>F23-F24-F25</f>
        <v>91600.082596025008</v>
      </c>
      <c r="G26" s="1564"/>
      <c r="H26" s="1564"/>
      <c r="I26" s="1565"/>
      <c r="K26" s="1559">
        <f>'STANDARD COMP.'!K26:L26</f>
        <v>0</v>
      </c>
      <c r="L26" s="1559"/>
      <c r="M26" s="493" t="str">
        <f>'STANDARD COMP.'!M26</f>
        <v/>
      </c>
      <c r="N26" s="1561"/>
      <c r="O26" s="1561"/>
      <c r="P26" s="513"/>
      <c r="Q26" s="514"/>
      <c r="S26" s="339" t="s">
        <v>103</v>
      </c>
      <c r="T26" s="340"/>
      <c r="U26" s="341"/>
      <c r="V26" s="341"/>
      <c r="W26" s="342"/>
      <c r="X26" s="343" t="s">
        <v>106</v>
      </c>
      <c r="Y26" s="342"/>
      <c r="Z26" s="342"/>
      <c r="AA26" s="342"/>
      <c r="AB26" s="342"/>
      <c r="AC26" s="342"/>
      <c r="AD26" s="344"/>
      <c r="AJ26" s="1577" t="s">
        <v>33</v>
      </c>
      <c r="AK26" s="1577"/>
      <c r="AP26" s="1559"/>
      <c r="AQ26" s="1559"/>
    </row>
    <row r="27" spans="1:43" s="23" customFormat="1" ht="12" x14ac:dyDescent="0.3">
      <c r="A27" s="317"/>
      <c r="B27" s="321"/>
      <c r="C27" s="94"/>
      <c r="D27" s="295"/>
      <c r="E27" s="295"/>
      <c r="F27" s="346"/>
      <c r="G27" s="346"/>
      <c r="H27" s="346"/>
      <c r="I27" s="4"/>
      <c r="J27" s="317"/>
      <c r="K27" s="1559">
        <f>'STANDARD COMP.'!K27:L27</f>
        <v>0</v>
      </c>
      <c r="L27" s="1559"/>
      <c r="M27" s="493" t="str">
        <f>'STANDARD COMP.'!M27</f>
        <v/>
      </c>
      <c r="N27" s="1561"/>
      <c r="O27" s="1561"/>
      <c r="P27" s="513"/>
      <c r="Q27" s="514"/>
      <c r="S27" s="324"/>
      <c r="T27" s="317"/>
      <c r="U27" s="317"/>
      <c r="V27" s="317"/>
      <c r="W27" s="317"/>
      <c r="X27" s="371"/>
      <c r="Y27" s="371"/>
      <c r="Z27" s="371"/>
      <c r="AA27" s="371"/>
      <c r="AB27" s="371"/>
      <c r="AC27" s="371"/>
      <c r="AD27" s="326"/>
      <c r="AJ27" s="1577" t="s">
        <v>34</v>
      </c>
      <c r="AK27" s="1577"/>
      <c r="AP27" s="1559"/>
      <c r="AQ27" s="1559"/>
    </row>
    <row r="28" spans="1:43" s="317" customFormat="1" ht="12" x14ac:dyDescent="0.3">
      <c r="A28" s="23"/>
      <c r="B28" s="1607" t="s">
        <v>217</v>
      </c>
      <c r="C28" s="1607"/>
      <c r="D28" s="5"/>
      <c r="E28" s="504" t="s">
        <v>218</v>
      </c>
      <c r="F28" s="505" t="s">
        <v>215</v>
      </c>
      <c r="G28" s="1578" t="s">
        <v>216</v>
      </c>
      <c r="H28" s="1578"/>
      <c r="I28" s="1578"/>
      <c r="J28" s="23"/>
      <c r="K28" s="1559">
        <f>'STANDARD COMP.'!K28:L28</f>
        <v>0</v>
      </c>
      <c r="L28" s="1559"/>
      <c r="M28" s="493" t="str">
        <f>'STANDARD COMP.'!M28</f>
        <v/>
      </c>
      <c r="N28" s="1561"/>
      <c r="O28" s="1561"/>
      <c r="P28" s="513"/>
      <c r="Q28" s="514"/>
      <c r="R28" s="23"/>
      <c r="S28" s="324"/>
      <c r="W28" s="325" t="s">
        <v>104</v>
      </c>
      <c r="X28" s="372"/>
      <c r="Y28" s="372"/>
      <c r="Z28" s="372"/>
      <c r="AA28" s="372"/>
      <c r="AB28" s="372"/>
      <c r="AC28" s="372"/>
      <c r="AD28" s="326"/>
      <c r="AE28" s="23"/>
      <c r="AJ28" s="1577" t="s">
        <v>35</v>
      </c>
      <c r="AK28" s="1577"/>
      <c r="AP28" s="1559"/>
      <c r="AQ28" s="1559"/>
    </row>
    <row r="29" spans="1:43" s="23" customFormat="1" ht="12" x14ac:dyDescent="0.3">
      <c r="A29" s="317"/>
      <c r="B29" s="1607"/>
      <c r="C29" s="1607"/>
      <c r="D29" s="5" t="s">
        <v>5</v>
      </c>
      <c r="E29" s="506">
        <v>0.25</v>
      </c>
      <c r="F29" s="507"/>
      <c r="G29" s="1580" t="e">
        <f>F26*E29/F29</f>
        <v>#DIV/0!</v>
      </c>
      <c r="H29" s="1580"/>
      <c r="I29" s="1580"/>
      <c r="J29" s="317"/>
      <c r="K29" s="1559">
        <f>'STANDARD COMP.'!K29:L29</f>
        <v>0</v>
      </c>
      <c r="L29" s="1559"/>
      <c r="M29" s="493" t="str">
        <f>'STANDARD COMP.'!M29</f>
        <v/>
      </c>
      <c r="N29" s="1561"/>
      <c r="O29" s="1561"/>
      <c r="P29" s="513"/>
      <c r="Q29" s="514"/>
      <c r="S29" s="332"/>
      <c r="W29" s="325"/>
      <c r="X29" s="372"/>
      <c r="Y29" s="372"/>
      <c r="Z29" s="372"/>
      <c r="AA29" s="372"/>
      <c r="AB29" s="372"/>
      <c r="AC29" s="372"/>
      <c r="AD29" s="335"/>
      <c r="AJ29" s="1577" t="s">
        <v>37</v>
      </c>
      <c r="AK29" s="1577"/>
      <c r="AP29" s="1559"/>
      <c r="AQ29" s="1559"/>
    </row>
    <row r="30" spans="1:43" s="317" customFormat="1" ht="12" x14ac:dyDescent="0.3">
      <c r="A30" s="23"/>
      <c r="B30" s="1607"/>
      <c r="C30" s="1607"/>
      <c r="D30" s="5" t="s">
        <v>5</v>
      </c>
      <c r="E30" s="506">
        <v>0.35</v>
      </c>
      <c r="F30" s="507"/>
      <c r="G30" s="1581" t="e">
        <f>F26*E30/F30</f>
        <v>#DIV/0!</v>
      </c>
      <c r="H30" s="1581"/>
      <c r="I30" s="1581"/>
      <c r="J30" s="23"/>
      <c r="K30" s="1559">
        <f>'STANDARD COMP.'!K30:L30</f>
        <v>0</v>
      </c>
      <c r="L30" s="1559"/>
      <c r="M30" s="493" t="str">
        <f>'STANDARD COMP.'!M30</f>
        <v/>
      </c>
      <c r="N30" s="1561"/>
      <c r="O30" s="1561"/>
      <c r="P30" s="513"/>
      <c r="Q30" s="514"/>
      <c r="R30" s="23"/>
      <c r="S30" s="324"/>
      <c r="T30" s="1579"/>
      <c r="U30" s="1579"/>
      <c r="W30" s="317" t="s">
        <v>105</v>
      </c>
      <c r="X30" s="372"/>
      <c r="Y30" s="372"/>
      <c r="Z30" s="372"/>
      <c r="AA30" s="372"/>
      <c r="AB30" s="372"/>
      <c r="AC30" s="372"/>
      <c r="AD30" s="326"/>
      <c r="AE30" s="23"/>
      <c r="AJ30" s="1577" t="s">
        <v>38</v>
      </c>
      <c r="AK30" s="1577"/>
      <c r="AP30" s="1559"/>
      <c r="AQ30" s="1559"/>
    </row>
    <row r="31" spans="1:43" s="23" customFormat="1" ht="12" x14ac:dyDescent="0.3">
      <c r="A31" s="317"/>
      <c r="B31" s="1607"/>
      <c r="C31" s="1607"/>
      <c r="D31" s="5" t="s">
        <v>5</v>
      </c>
      <c r="E31" s="506">
        <v>0.4</v>
      </c>
      <c r="F31" s="507"/>
      <c r="G31" s="1581" t="e">
        <f>F26*E31/F31</f>
        <v>#DIV/0!</v>
      </c>
      <c r="H31" s="1581"/>
      <c r="I31" s="1581"/>
      <c r="J31" s="317"/>
      <c r="K31" s="1559">
        <f>'STANDARD COMP.'!K31:L31</f>
        <v>0</v>
      </c>
      <c r="L31" s="1559"/>
      <c r="M31" s="493" t="str">
        <f>'STANDARD COMP.'!M31</f>
        <v/>
      </c>
      <c r="N31" s="1561"/>
      <c r="O31" s="1561"/>
      <c r="P31" s="513"/>
      <c r="Q31" s="514"/>
      <c r="S31" s="348"/>
      <c r="T31" s="1562" t="s">
        <v>108</v>
      </c>
      <c r="U31" s="1562"/>
      <c r="V31" s="32"/>
      <c r="W31" s="349"/>
      <c r="X31" s="334"/>
      <c r="Y31" s="334"/>
      <c r="Z31" s="334"/>
      <c r="AA31" s="334"/>
      <c r="AB31" s="349"/>
      <c r="AC31" s="349"/>
      <c r="AD31" s="350"/>
      <c r="AJ31" s="1577" t="s">
        <v>39</v>
      </c>
      <c r="AK31" s="1577"/>
      <c r="AP31" s="1559"/>
      <c r="AQ31" s="1559"/>
    </row>
    <row r="32" spans="1:43" s="317" customFormat="1" ht="12" x14ac:dyDescent="0.3">
      <c r="B32" s="369"/>
      <c r="C32" s="369"/>
      <c r="D32" s="295"/>
      <c r="E32" s="295"/>
      <c r="F32" s="88"/>
      <c r="G32" s="88"/>
      <c r="H32" s="88"/>
      <c r="I32" s="94"/>
      <c r="K32" s="1559">
        <f>'STANDARD COMP.'!K32:L32</f>
        <v>0</v>
      </c>
      <c r="L32" s="1559"/>
      <c r="M32" s="493" t="str">
        <f>'STANDARD COMP.'!M32</f>
        <v/>
      </c>
      <c r="N32" s="1561"/>
      <c r="O32" s="1561"/>
      <c r="P32" s="513"/>
      <c r="Q32" s="514"/>
      <c r="AJ32" s="1577" t="s">
        <v>41</v>
      </c>
      <c r="AK32" s="1577"/>
      <c r="AP32" s="1559"/>
      <c r="AQ32" s="1559"/>
    </row>
    <row r="33" spans="1:43" s="317" customFormat="1" ht="12" x14ac:dyDescent="0.3">
      <c r="A33" s="23"/>
      <c r="B33" s="86" t="s">
        <v>44</v>
      </c>
      <c r="C33" s="3"/>
      <c r="D33" s="5" t="s">
        <v>5</v>
      </c>
      <c r="E33" s="347">
        <f>100%-E23</f>
        <v>0.875</v>
      </c>
      <c r="F33" s="1563">
        <f>F21*E33</f>
        <v>889000.72271521878</v>
      </c>
      <c r="G33" s="1564"/>
      <c r="H33" s="1564"/>
      <c r="I33" s="1565"/>
      <c r="J33" s="23"/>
      <c r="K33" s="1559">
        <f>'STANDARD COMP.'!K33:L33</f>
        <v>0</v>
      </c>
      <c r="L33" s="1559"/>
      <c r="M33" s="493" t="str">
        <f>'STANDARD COMP.'!M33</f>
        <v/>
      </c>
      <c r="N33" s="1561"/>
      <c r="O33" s="1561"/>
      <c r="P33" s="513"/>
      <c r="Q33" s="514"/>
      <c r="AJ33" s="1577" t="s">
        <v>42</v>
      </c>
      <c r="AK33" s="1577"/>
      <c r="AP33" s="1559"/>
      <c r="AQ33" s="1559"/>
    </row>
    <row r="34" spans="1:43" s="23" customFormat="1" ht="12" x14ac:dyDescent="0.3">
      <c r="A34" s="317"/>
      <c r="B34" s="321"/>
      <c r="C34" s="94"/>
      <c r="D34" s="295"/>
      <c r="E34" s="94"/>
      <c r="F34" s="94"/>
      <c r="G34" s="94"/>
      <c r="H34" s="94"/>
      <c r="I34" s="94"/>
      <c r="J34" s="317"/>
      <c r="K34" s="1559">
        <f>'STANDARD COMP.'!K34:L34</f>
        <v>0</v>
      </c>
      <c r="L34" s="1559"/>
      <c r="M34" s="493" t="str">
        <f>'STANDARD COMP.'!M34</f>
        <v/>
      </c>
      <c r="N34" s="1561"/>
      <c r="O34" s="1561"/>
      <c r="P34" s="513"/>
      <c r="Q34" s="514"/>
      <c r="S34" s="317"/>
      <c r="T34" s="317"/>
      <c r="U34" s="317"/>
      <c r="V34" s="317"/>
      <c r="W34" s="317"/>
      <c r="X34" s="317"/>
      <c r="Y34" s="317"/>
      <c r="Z34" s="317"/>
      <c r="AA34" s="317"/>
      <c r="AB34" s="317"/>
      <c r="AC34" s="317"/>
      <c r="AD34" s="317"/>
      <c r="AJ34" s="1577" t="s">
        <v>43</v>
      </c>
      <c r="AK34" s="1577"/>
      <c r="AP34" s="1559"/>
      <c r="AQ34" s="1559"/>
    </row>
    <row r="35" spans="1:43" s="317" customFormat="1" ht="12" x14ac:dyDescent="0.3">
      <c r="B35" s="3" t="s">
        <v>48</v>
      </c>
      <c r="C35" s="3"/>
      <c r="D35" s="351"/>
      <c r="E35" s="351"/>
      <c r="F35" s="351"/>
      <c r="G35" s="351"/>
      <c r="H35" s="351"/>
      <c r="I35" s="351"/>
      <c r="K35" s="1559">
        <f>'STANDARD COMP.'!K35:L35</f>
        <v>0</v>
      </c>
      <c r="L35" s="1559"/>
      <c r="M35" s="493" t="str">
        <f>'STANDARD COMP.'!M35</f>
        <v/>
      </c>
      <c r="N35" s="1561"/>
      <c r="O35" s="1561"/>
      <c r="P35" s="513"/>
      <c r="Q35" s="514"/>
      <c r="AJ35" s="1577" t="s">
        <v>45</v>
      </c>
      <c r="AK35" s="1577"/>
      <c r="AP35" s="1559"/>
      <c r="AQ35" s="1559"/>
    </row>
    <row r="36" spans="1:43" s="317" customFormat="1" ht="12" x14ac:dyDescent="0.3">
      <c r="B36" s="763"/>
      <c r="C36" s="763"/>
      <c r="D36" s="763"/>
      <c r="E36" s="763"/>
      <c r="F36" s="763"/>
      <c r="G36" s="763"/>
      <c r="H36" s="763"/>
      <c r="I36" s="763"/>
      <c r="K36" s="1559">
        <f>'STANDARD COMP.'!K36:L36</f>
        <v>0</v>
      </c>
      <c r="L36" s="1559"/>
      <c r="M36" s="493" t="str">
        <f>'STANDARD COMP.'!M36</f>
        <v/>
      </c>
      <c r="N36" s="1561"/>
      <c r="O36" s="1561"/>
      <c r="P36" s="513"/>
      <c r="Q36" s="514"/>
      <c r="AJ36" s="1577" t="s">
        <v>46</v>
      </c>
      <c r="AK36" s="1577"/>
      <c r="AP36" s="1559"/>
      <c r="AQ36" s="1559"/>
    </row>
    <row r="37" spans="1:43" s="317" customFormat="1" ht="12" x14ac:dyDescent="0.3">
      <c r="B37" s="629" t="s">
        <v>51</v>
      </c>
      <c r="C37" s="629" t="s">
        <v>52</v>
      </c>
      <c r="D37" s="1599" t="s">
        <v>53</v>
      </c>
      <c r="E37" s="1599"/>
      <c r="F37" s="629" t="s">
        <v>54</v>
      </c>
      <c r="G37" s="1599" t="s">
        <v>79</v>
      </c>
      <c r="H37" s="1599"/>
      <c r="I37" s="1599"/>
      <c r="K37" s="1559">
        <f>'STANDARD COMP.'!K37:L37</f>
        <v>0</v>
      </c>
      <c r="L37" s="1559"/>
      <c r="M37" s="493" t="str">
        <f>'STANDARD COMP.'!M37</f>
        <v/>
      </c>
      <c r="N37" s="1561"/>
      <c r="O37" s="1561"/>
      <c r="P37" s="513"/>
      <c r="Q37" s="514"/>
      <c r="AJ37" s="1577" t="s">
        <v>47</v>
      </c>
      <c r="AK37" s="1577"/>
      <c r="AP37" s="1559"/>
      <c r="AQ37" s="1559"/>
    </row>
    <row r="38" spans="1:43" s="317" customFormat="1" ht="12" x14ac:dyDescent="0.3">
      <c r="B38" s="764">
        <v>5</v>
      </c>
      <c r="C38" s="765">
        <f>'STANDARD COMP.'!C33</f>
        <v>7.0000000000000007E-2</v>
      </c>
      <c r="D38" s="1609">
        <f>PMT(C38/12,B38*12,-1)</f>
        <v>1.9801198540349535E-2</v>
      </c>
      <c r="E38" s="1609"/>
      <c r="F38" s="766">
        <f>D38*F33</f>
        <v>17603.279812998273</v>
      </c>
      <c r="G38" s="1612">
        <f>F38/0.3</f>
        <v>58677.59937666091</v>
      </c>
      <c r="H38" s="1613"/>
      <c r="I38" s="1614"/>
      <c r="K38" s="1559">
        <f>'STANDARD COMP.'!K38:L38</f>
        <v>0</v>
      </c>
      <c r="L38" s="1559"/>
      <c r="M38" s="493" t="str">
        <f>'STANDARD COMP.'!M38</f>
        <v/>
      </c>
      <c r="N38" s="1561"/>
      <c r="O38" s="1561"/>
      <c r="P38" s="513"/>
      <c r="Q38" s="514"/>
      <c r="AJ38" s="1577" t="s">
        <v>49</v>
      </c>
      <c r="AK38" s="1577"/>
      <c r="AP38" s="1559"/>
      <c r="AQ38" s="1559"/>
    </row>
    <row r="39" spans="1:43" s="317" customFormat="1" ht="12" x14ac:dyDescent="0.3">
      <c r="B39" s="352">
        <v>10</v>
      </c>
      <c r="C39" s="765">
        <f>'STANDARD COMP.'!C34</f>
        <v>7.0000000000000007E-2</v>
      </c>
      <c r="D39" s="1608">
        <f>PMT(C39/12,B39*12,-1)</f>
        <v>1.1610847921862406E-2</v>
      </c>
      <c r="E39" s="1608"/>
      <c r="F39" s="353">
        <f>D39*F33</f>
        <v>10322.052193872176</v>
      </c>
      <c r="G39" s="1615">
        <f t="shared" ref="G39" si="2">F39/0.3</f>
        <v>34406.840646240591</v>
      </c>
      <c r="H39" s="1616"/>
      <c r="I39" s="1617"/>
      <c r="K39" s="1559">
        <f>'STANDARD COMP.'!K39:L39</f>
        <v>0</v>
      </c>
      <c r="L39" s="1559"/>
      <c r="M39" s="493" t="str">
        <f>'STANDARD COMP.'!M39</f>
        <v/>
      </c>
      <c r="N39" s="1591"/>
      <c r="O39" s="1591"/>
      <c r="P39" s="513"/>
      <c r="Q39" s="514"/>
      <c r="AJ39" s="1577" t="s">
        <v>50</v>
      </c>
      <c r="AK39" s="1577"/>
      <c r="AP39" s="1559"/>
      <c r="AQ39" s="1559"/>
    </row>
    <row r="40" spans="1:43" s="317" customFormat="1" ht="12" x14ac:dyDescent="0.3">
      <c r="B40" s="352">
        <v>15</v>
      </c>
      <c r="C40" s="765">
        <f>'STANDARD COMP.'!C35</f>
        <v>7.0000000000000007E-2</v>
      </c>
      <c r="D40" s="1608">
        <f>PMT(C40/12,B40*12,-1)</f>
        <v>8.988282708524269E-3</v>
      </c>
      <c r="E40" s="1608"/>
      <c r="F40" s="353">
        <f>D40*F33</f>
        <v>7990.5898238467789</v>
      </c>
      <c r="G40" s="1615">
        <f>F40/0.3</f>
        <v>26635.299412822598</v>
      </c>
      <c r="H40" s="1616"/>
      <c r="I40" s="1617"/>
      <c r="K40" s="1559">
        <f>'STANDARD COMP.'!K40:L40</f>
        <v>0</v>
      </c>
      <c r="L40" s="1559"/>
      <c r="M40" s="493" t="str">
        <f>'STANDARD COMP.'!M40</f>
        <v/>
      </c>
      <c r="N40" s="1591"/>
      <c r="O40" s="1591"/>
      <c r="P40" s="513"/>
      <c r="Q40" s="514"/>
      <c r="AJ40" s="1577" t="s">
        <v>56</v>
      </c>
      <c r="AK40" s="1577"/>
      <c r="AP40" s="1559"/>
      <c r="AQ40" s="1559"/>
    </row>
    <row r="41" spans="1:43" s="317" customFormat="1" ht="12" x14ac:dyDescent="0.3">
      <c r="B41" s="352">
        <v>20</v>
      </c>
      <c r="C41" s="765">
        <f>'STANDARD COMP.'!C36</f>
        <v>7.0000000000000007E-2</v>
      </c>
      <c r="D41" s="1610">
        <f>PMT(C41/12,B41*12,-1)</f>
        <v>7.7529893561887461E-3</v>
      </c>
      <c r="E41" s="1610"/>
      <c r="F41" s="353">
        <f>D41*F33</f>
        <v>6892.4131408551939</v>
      </c>
      <c r="G41" s="1615">
        <f>F41/0.3</f>
        <v>22974.710469517315</v>
      </c>
      <c r="H41" s="1616"/>
      <c r="I41" s="1617"/>
      <c r="K41" s="1559">
        <f>'STANDARD COMP.'!K41:L41</f>
        <v>0</v>
      </c>
      <c r="L41" s="1559"/>
      <c r="M41" s="493" t="str">
        <f>'STANDARD COMP.'!M41</f>
        <v/>
      </c>
      <c r="N41" s="1591"/>
      <c r="O41" s="1591"/>
      <c r="P41" s="513"/>
      <c r="Q41" s="514"/>
      <c r="AJ41" s="1577" t="s">
        <v>57</v>
      </c>
      <c r="AK41" s="1577"/>
      <c r="AP41" s="1559"/>
      <c r="AQ41" s="1559"/>
    </row>
    <row r="42" spans="1:43" s="317" customFormat="1" ht="12" x14ac:dyDescent="0.3">
      <c r="B42" s="354" t="str">
        <f>'STANDARD COMP.'!B37</f>
        <v>Fixed for three (3) years</v>
      </c>
      <c r="G42" s="355"/>
      <c r="K42" s="1559">
        <f>'STANDARD COMP.'!K42:L42</f>
        <v>0</v>
      </c>
      <c r="L42" s="1559"/>
      <c r="M42" s="493" t="str">
        <f>'STANDARD COMP.'!M42</f>
        <v/>
      </c>
      <c r="N42" s="1591"/>
      <c r="O42" s="1591"/>
      <c r="P42" s="513"/>
      <c r="Q42" s="514"/>
      <c r="AJ42" s="1577" t="s">
        <v>58</v>
      </c>
      <c r="AK42" s="1577"/>
      <c r="AP42" s="1559"/>
      <c r="AQ42" s="1559"/>
    </row>
    <row r="43" spans="1:43" s="317" customFormat="1" ht="12" x14ac:dyDescent="0.3">
      <c r="B43" s="354" t="str">
        <f>'STANDARD COMP.'!B38</f>
        <v>Sample Computation for Interest rate is at 7% fixed for three (3) years only</v>
      </c>
      <c r="C43" s="356"/>
      <c r="D43" s="357"/>
      <c r="K43" s="1559">
        <f>'STANDARD COMP.'!K43:L43</f>
        <v>0</v>
      </c>
      <c r="L43" s="1559"/>
      <c r="M43" s="493" t="str">
        <f>'STANDARD COMP.'!M43</f>
        <v/>
      </c>
      <c r="N43" s="1591"/>
      <c r="O43" s="1591"/>
      <c r="P43" s="513"/>
      <c r="Q43" s="514"/>
      <c r="AJ43" s="1577" t="s">
        <v>59</v>
      </c>
      <c r="AK43" s="1577"/>
      <c r="AP43" s="1559"/>
      <c r="AQ43" s="1559"/>
    </row>
    <row r="44" spans="1:43" s="317" customFormat="1" ht="12" x14ac:dyDescent="0.3">
      <c r="B44" s="358" t="s">
        <v>63</v>
      </c>
      <c r="D44" s="357"/>
      <c r="K44" s="1559">
        <f>'STANDARD COMP.'!K44:L44</f>
        <v>0</v>
      </c>
      <c r="L44" s="1559"/>
      <c r="M44" s="493" t="str">
        <f>'STANDARD COMP.'!M44</f>
        <v/>
      </c>
      <c r="N44" s="1591"/>
      <c r="O44" s="1591"/>
      <c r="P44" s="513"/>
      <c r="Q44" s="514"/>
      <c r="AJ44" s="1577" t="s">
        <v>60</v>
      </c>
      <c r="AK44" s="1577"/>
      <c r="AP44" s="1559"/>
      <c r="AQ44" s="1559"/>
    </row>
    <row r="45" spans="1:43" s="317" customFormat="1" ht="12" x14ac:dyDescent="0.3">
      <c r="B45" s="358" t="s">
        <v>65</v>
      </c>
      <c r="C45" s="356"/>
      <c r="D45" s="357"/>
      <c r="K45" s="1559">
        <f>'STANDARD COMP.'!K45:L45</f>
        <v>0</v>
      </c>
      <c r="L45" s="1559"/>
      <c r="M45" s="493" t="str">
        <f>'STANDARD COMP.'!M45</f>
        <v/>
      </c>
      <c r="N45" s="1591"/>
      <c r="O45" s="1591"/>
      <c r="P45" s="513"/>
      <c r="Q45" s="514"/>
      <c r="AJ45" s="1577" t="s">
        <v>61</v>
      </c>
      <c r="AK45" s="1577"/>
      <c r="AP45" s="1559"/>
      <c r="AQ45" s="1559"/>
    </row>
    <row r="46" spans="1:43" s="317" customFormat="1" ht="12" x14ac:dyDescent="0.3">
      <c r="D46" s="357"/>
      <c r="K46" s="1559">
        <f>'STANDARD COMP.'!K46:L46</f>
        <v>0</v>
      </c>
      <c r="L46" s="1559"/>
      <c r="M46" s="493" t="str">
        <f>'STANDARD COMP.'!M46</f>
        <v/>
      </c>
      <c r="N46" s="1591"/>
      <c r="O46" s="1591"/>
      <c r="P46" s="513"/>
      <c r="Q46" s="514"/>
      <c r="AJ46" s="1577" t="s">
        <v>62</v>
      </c>
      <c r="AK46" s="1577"/>
      <c r="AP46" s="1559"/>
      <c r="AQ46" s="1559"/>
    </row>
    <row r="47" spans="1:43" s="317" customFormat="1" ht="12.5" x14ac:dyDescent="0.25">
      <c r="A47" s="26"/>
      <c r="B47" s="3" t="s">
        <v>202</v>
      </c>
      <c r="C47" s="359"/>
      <c r="D47" s="23"/>
      <c r="E47" s="23"/>
      <c r="F47" s="23"/>
      <c r="G47" s="23"/>
      <c r="H47" s="23"/>
      <c r="I47" s="23"/>
      <c r="K47" s="1559">
        <f>'STANDARD COMP.'!K47:L47</f>
        <v>0</v>
      </c>
      <c r="L47" s="1559"/>
      <c r="M47" s="493" t="str">
        <f>'STANDARD COMP.'!M47</f>
        <v/>
      </c>
      <c r="N47" s="1591"/>
      <c r="O47" s="1591"/>
      <c r="P47" s="513"/>
      <c r="Q47" s="514"/>
      <c r="AJ47" s="1594" t="s">
        <v>64</v>
      </c>
      <c r="AK47" s="1594"/>
    </row>
    <row r="48" spans="1:43" x14ac:dyDescent="0.25">
      <c r="A48" s="317"/>
      <c r="B48" s="23"/>
      <c r="C48" s="23"/>
      <c r="D48" s="23"/>
      <c r="E48" s="23"/>
      <c r="F48" s="23"/>
      <c r="G48" s="23"/>
      <c r="H48" s="23"/>
      <c r="I48" s="23"/>
      <c r="K48" s="1559">
        <f>'STANDARD COMP.'!K48:L48</f>
        <v>0</v>
      </c>
      <c r="L48" s="1559"/>
      <c r="M48" s="493" t="str">
        <f>'STANDARD COMP.'!M48</f>
        <v/>
      </c>
      <c r="N48" s="1591"/>
      <c r="O48" s="1591"/>
      <c r="P48" s="513"/>
      <c r="Q48" s="514"/>
    </row>
    <row r="49" spans="1:17" s="317" customFormat="1" ht="11.5" x14ac:dyDescent="0.25">
      <c r="B49" s="1599" t="s">
        <v>110</v>
      </c>
      <c r="C49" s="1599"/>
      <c r="D49" s="1599" t="s">
        <v>200</v>
      </c>
      <c r="E49" s="1599"/>
      <c r="F49" s="1599"/>
      <c r="G49" s="1599" t="s">
        <v>207</v>
      </c>
      <c r="H49" s="1599"/>
      <c r="I49" s="1599"/>
      <c r="K49" s="1559">
        <f>'STANDARD COMP.'!K49:L49</f>
        <v>0</v>
      </c>
      <c r="L49" s="1559"/>
      <c r="M49" s="493" t="str">
        <f>'STANDARD COMP.'!M49</f>
        <v/>
      </c>
      <c r="N49" s="1591"/>
      <c r="O49" s="1591"/>
      <c r="P49" s="513"/>
      <c r="Q49" s="514"/>
    </row>
    <row r="50" spans="1:17" s="317" customFormat="1" ht="11.5" x14ac:dyDescent="0.25">
      <c r="B50" s="1552">
        <f>FORM!O19</f>
        <v>0</v>
      </c>
      <c r="C50" s="1554"/>
      <c r="D50" s="1552">
        <f>FORM!S19</f>
        <v>0</v>
      </c>
      <c r="E50" s="1553"/>
      <c r="F50" s="1554"/>
      <c r="G50" s="1546">
        <f>FORM!V19</f>
        <v>0</v>
      </c>
      <c r="H50" s="1547"/>
      <c r="I50" s="1548"/>
      <c r="K50" s="1559">
        <f>'STANDARD COMP.'!K50:L50</f>
        <v>0</v>
      </c>
      <c r="L50" s="1559"/>
      <c r="M50" s="493" t="str">
        <f>'STANDARD COMP.'!M50</f>
        <v/>
      </c>
      <c r="N50" s="1591"/>
      <c r="O50" s="1591"/>
      <c r="P50" s="513"/>
      <c r="Q50" s="514"/>
    </row>
    <row r="51" spans="1:17" s="317" customFormat="1" ht="11.5" x14ac:dyDescent="0.25">
      <c r="B51" s="1555"/>
      <c r="C51" s="1557"/>
      <c r="D51" s="1555"/>
      <c r="E51" s="1556"/>
      <c r="F51" s="1557"/>
      <c r="G51" s="1549"/>
      <c r="H51" s="1550"/>
      <c r="I51" s="1551"/>
      <c r="K51" s="1559">
        <f>'STANDARD COMP.'!K51:L51</f>
        <v>0</v>
      </c>
      <c r="L51" s="1559"/>
      <c r="M51" s="493" t="str">
        <f>'STANDARD COMP.'!M51</f>
        <v/>
      </c>
      <c r="N51" s="1591"/>
      <c r="O51" s="1591"/>
      <c r="P51" s="513"/>
      <c r="Q51" s="514"/>
    </row>
    <row r="52" spans="1:17" s="317" customFormat="1" ht="11.5" x14ac:dyDescent="0.25">
      <c r="B52" s="1552">
        <f>FORM!O21</f>
        <v>0</v>
      </c>
      <c r="C52" s="1554"/>
      <c r="D52" s="1552">
        <f>FORM!S21</f>
        <v>0</v>
      </c>
      <c r="E52" s="1553"/>
      <c r="F52" s="1554"/>
      <c r="G52" s="1546">
        <f>FORM!V21</f>
        <v>0</v>
      </c>
      <c r="H52" s="1547"/>
      <c r="I52" s="1548"/>
      <c r="K52" s="1559">
        <f>'STANDARD COMP.'!K52:L52</f>
        <v>0</v>
      </c>
      <c r="L52" s="1559"/>
      <c r="M52" s="493" t="str">
        <f>'STANDARD COMP.'!M52</f>
        <v/>
      </c>
      <c r="N52" s="1591"/>
      <c r="O52" s="1591"/>
      <c r="P52" s="513"/>
      <c r="Q52" s="514"/>
    </row>
    <row r="53" spans="1:17" s="317" customFormat="1" ht="11.5" x14ac:dyDescent="0.25">
      <c r="B53" s="1555"/>
      <c r="C53" s="1557"/>
      <c r="D53" s="1555"/>
      <c r="E53" s="1556"/>
      <c r="F53" s="1557"/>
      <c r="G53" s="1549"/>
      <c r="H53" s="1550"/>
      <c r="I53" s="1551"/>
      <c r="K53" s="1559">
        <f>'STANDARD COMP.'!K53:L53</f>
        <v>0</v>
      </c>
      <c r="L53" s="1559"/>
      <c r="M53" s="493" t="str">
        <f>'STANDARD COMP.'!M53</f>
        <v/>
      </c>
      <c r="N53" s="1591"/>
      <c r="O53" s="1591"/>
      <c r="P53" s="513"/>
      <c r="Q53" s="514"/>
    </row>
    <row r="54" spans="1:17" s="317" customFormat="1" ht="11.5" x14ac:dyDescent="0.25">
      <c r="B54" s="1552">
        <f>FORM!O25</f>
        <v>0</v>
      </c>
      <c r="C54" s="1554"/>
      <c r="D54" s="1552">
        <f>FORM!S25</f>
        <v>0</v>
      </c>
      <c r="E54" s="1553"/>
      <c r="F54" s="1554"/>
      <c r="G54" s="1546">
        <f>FORM!V25</f>
        <v>0</v>
      </c>
      <c r="H54" s="1547"/>
      <c r="I54" s="1548"/>
      <c r="K54" s="1559">
        <f>'STANDARD COMP.'!K54:L54</f>
        <v>0</v>
      </c>
      <c r="L54" s="1559"/>
      <c r="M54" s="493" t="str">
        <f>'STANDARD COMP.'!M54</f>
        <v/>
      </c>
      <c r="N54" s="1591"/>
      <c r="O54" s="1591"/>
      <c r="P54" s="513"/>
      <c r="Q54" s="514"/>
    </row>
    <row r="55" spans="1:17" s="317" customFormat="1" ht="11.5" x14ac:dyDescent="0.25">
      <c r="B55" s="1555"/>
      <c r="C55" s="1557"/>
      <c r="D55" s="1555"/>
      <c r="E55" s="1556"/>
      <c r="F55" s="1557"/>
      <c r="G55" s="1549"/>
      <c r="H55" s="1550"/>
      <c r="I55" s="1551"/>
      <c r="J55" s="317" t="s">
        <v>1</v>
      </c>
      <c r="K55" s="1559">
        <f>'STANDARD COMP.'!K55:L55</f>
        <v>0</v>
      </c>
      <c r="L55" s="1559"/>
      <c r="M55" s="493" t="str">
        <f>'STANDARD COMP.'!M55</f>
        <v/>
      </c>
      <c r="N55" s="1591"/>
      <c r="O55" s="1591"/>
      <c r="P55" s="513"/>
      <c r="Q55" s="514"/>
    </row>
    <row r="56" spans="1:17" s="317" customFormat="1" ht="11.5" x14ac:dyDescent="0.25">
      <c r="B56" s="1552">
        <f>FORM!O27</f>
        <v>0</v>
      </c>
      <c r="C56" s="1554"/>
      <c r="D56" s="1552">
        <f>FORM!S27</f>
        <v>0</v>
      </c>
      <c r="E56" s="1553"/>
      <c r="F56" s="1554"/>
      <c r="G56" s="1546">
        <f>FORM!V27</f>
        <v>0</v>
      </c>
      <c r="H56" s="1547"/>
      <c r="I56" s="1548"/>
      <c r="K56" s="1559">
        <f>'STANDARD COMP.'!K56:L56</f>
        <v>0</v>
      </c>
      <c r="L56" s="1559"/>
      <c r="M56" s="493" t="str">
        <f>'STANDARD COMP.'!M56</f>
        <v/>
      </c>
      <c r="N56" s="1591"/>
      <c r="O56" s="1591"/>
      <c r="P56" s="513"/>
      <c r="Q56" s="514"/>
    </row>
    <row r="57" spans="1:17" s="317" customFormat="1" ht="11.5" x14ac:dyDescent="0.25">
      <c r="B57" s="1555"/>
      <c r="C57" s="1557"/>
      <c r="D57" s="1555"/>
      <c r="E57" s="1556"/>
      <c r="F57" s="1557"/>
      <c r="G57" s="1549"/>
      <c r="H57" s="1550"/>
      <c r="I57" s="1551"/>
      <c r="K57" s="1559">
        <f>'STANDARD COMP.'!K57:L57</f>
        <v>0</v>
      </c>
      <c r="L57" s="1559"/>
      <c r="M57" s="493" t="str">
        <f>'STANDARD COMP.'!M57</f>
        <v/>
      </c>
      <c r="N57" s="1591"/>
      <c r="O57" s="1591"/>
      <c r="P57" s="513"/>
      <c r="Q57" s="514"/>
    </row>
    <row r="58" spans="1:17" s="317" customFormat="1" ht="11.5" x14ac:dyDescent="0.25">
      <c r="B58" s="1552">
        <f>FORM!O31</f>
        <v>0</v>
      </c>
      <c r="C58" s="1554"/>
      <c r="D58" s="1552">
        <f>FORM!S31</f>
        <v>0</v>
      </c>
      <c r="E58" s="1553"/>
      <c r="F58" s="1554"/>
      <c r="G58" s="1546">
        <f>FORM!V31</f>
        <v>0</v>
      </c>
      <c r="H58" s="1547"/>
      <c r="I58" s="1548"/>
      <c r="K58" s="1559">
        <f>'STANDARD COMP.'!K58:L58</f>
        <v>0</v>
      </c>
      <c r="L58" s="1559"/>
      <c r="M58" s="493" t="str">
        <f>'STANDARD COMP.'!M58</f>
        <v/>
      </c>
      <c r="N58" s="1591"/>
      <c r="O58" s="1591"/>
      <c r="P58" s="513"/>
      <c r="Q58" s="514"/>
    </row>
    <row r="59" spans="1:17" s="317" customFormat="1" ht="11.5" x14ac:dyDescent="0.25">
      <c r="B59" s="1555"/>
      <c r="C59" s="1557"/>
      <c r="D59" s="1555"/>
      <c r="E59" s="1556"/>
      <c r="F59" s="1557"/>
      <c r="G59" s="1549"/>
      <c r="H59" s="1550"/>
      <c r="I59" s="1551"/>
      <c r="K59" s="1559">
        <f>'STANDARD COMP.'!K59:L59</f>
        <v>0</v>
      </c>
      <c r="L59" s="1559"/>
      <c r="M59" s="493" t="str">
        <f>'STANDARD COMP.'!M59</f>
        <v/>
      </c>
      <c r="N59" s="1591"/>
      <c r="O59" s="1591"/>
      <c r="P59" s="513"/>
      <c r="Q59" s="514"/>
    </row>
    <row r="60" spans="1:17" s="317" customFormat="1" ht="11.5" x14ac:dyDescent="0.25">
      <c r="B60" s="1552">
        <f>FORM!O33</f>
        <v>0</v>
      </c>
      <c r="C60" s="1554"/>
      <c r="D60" s="1552">
        <f>FORM!S33</f>
        <v>0</v>
      </c>
      <c r="E60" s="1553"/>
      <c r="F60" s="1554"/>
      <c r="G60" s="1546">
        <f>FORM!V33</f>
        <v>0</v>
      </c>
      <c r="H60" s="1547"/>
      <c r="I60" s="1548"/>
      <c r="K60" s="1559">
        <f>'STANDARD COMP.'!K60:L60</f>
        <v>0</v>
      </c>
      <c r="L60" s="1559"/>
      <c r="M60" s="493" t="str">
        <f>'STANDARD COMP.'!M60</f>
        <v/>
      </c>
      <c r="N60" s="1591"/>
      <c r="O60" s="1591"/>
      <c r="P60" s="513"/>
      <c r="Q60" s="514"/>
    </row>
    <row r="61" spans="1:17" s="317" customFormat="1" ht="11.5" x14ac:dyDescent="0.25">
      <c r="B61" s="1555"/>
      <c r="C61" s="1557"/>
      <c r="D61" s="1555"/>
      <c r="E61" s="1556"/>
      <c r="F61" s="1557"/>
      <c r="G61" s="1549"/>
      <c r="H61" s="1550"/>
      <c r="I61" s="1551"/>
      <c r="K61" s="1559">
        <f>'STANDARD COMP.'!K61:L61</f>
        <v>0</v>
      </c>
      <c r="L61" s="1559"/>
      <c r="M61" s="493" t="str">
        <f>'STANDARD COMP.'!M61</f>
        <v/>
      </c>
      <c r="N61" s="1591"/>
      <c r="O61" s="1591"/>
      <c r="P61" s="513"/>
      <c r="Q61" s="514"/>
    </row>
    <row r="62" spans="1:17" s="317" customFormat="1" x14ac:dyDescent="0.25">
      <c r="A62" s="22"/>
      <c r="D62" s="357"/>
      <c r="K62" s="1559">
        <f>'STANDARD COMP.'!K62:L62</f>
        <v>0</v>
      </c>
      <c r="L62" s="1559"/>
      <c r="M62" s="493" t="str">
        <f>'STANDARD COMP.'!M62</f>
        <v/>
      </c>
      <c r="N62" s="1591"/>
      <c r="O62" s="1591"/>
      <c r="P62" s="513"/>
      <c r="Q62" s="514"/>
    </row>
    <row r="63" spans="1:17" x14ac:dyDescent="0.25">
      <c r="B63" s="362"/>
      <c r="C63" s="498" t="s">
        <v>221</v>
      </c>
      <c r="D63" s="1611"/>
      <c r="E63" s="1611"/>
      <c r="F63" s="1611"/>
      <c r="G63" s="317"/>
      <c r="H63" s="317"/>
      <c r="I63" s="317"/>
      <c r="K63" s="1559">
        <f>'STANDARD COMP.'!K63:L63</f>
        <v>0</v>
      </c>
      <c r="L63" s="1559"/>
      <c r="M63" s="493" t="str">
        <f>'STANDARD COMP.'!M63</f>
        <v/>
      </c>
      <c r="N63" s="1591"/>
      <c r="O63" s="1591"/>
      <c r="P63" s="513"/>
      <c r="Q63" s="514"/>
    </row>
    <row r="64" spans="1:17" x14ac:dyDescent="0.25">
      <c r="B64" s="363"/>
      <c r="C64" s="94"/>
      <c r="D64" s="94"/>
      <c r="E64" s="94"/>
      <c r="F64" s="4"/>
      <c r="G64" s="317"/>
      <c r="H64" s="317"/>
      <c r="I64" s="317"/>
      <c r="K64" s="1559">
        <f>'STANDARD COMP.'!K64:L64</f>
        <v>0</v>
      </c>
      <c r="L64" s="1559"/>
      <c r="M64" s="493" t="str">
        <f>'STANDARD COMP.'!M64</f>
        <v/>
      </c>
      <c r="N64" s="1591"/>
      <c r="O64" s="1591"/>
      <c r="P64" s="513"/>
      <c r="Q64" s="514"/>
    </row>
    <row r="65" spans="2:17" x14ac:dyDescent="0.25">
      <c r="B65" s="23" t="s">
        <v>70</v>
      </c>
      <c r="C65" s="23"/>
      <c r="D65" s="23"/>
      <c r="E65" s="23"/>
      <c r="F65" s="23" t="s">
        <v>71</v>
      </c>
      <c r="G65" s="23"/>
      <c r="H65" s="23"/>
      <c r="I65" s="317"/>
      <c r="K65" s="1559">
        <f>'STANDARD COMP.'!K65:L65</f>
        <v>0</v>
      </c>
      <c r="L65" s="1559"/>
      <c r="M65" s="493" t="str">
        <f>'STANDARD COMP.'!M65</f>
        <v/>
      </c>
      <c r="N65" s="1591"/>
      <c r="O65" s="1591"/>
      <c r="P65" s="513"/>
      <c r="Q65" s="514"/>
    </row>
    <row r="66" spans="2:17" x14ac:dyDescent="0.25">
      <c r="B66" s="317"/>
      <c r="C66" s="317"/>
      <c r="D66" s="357"/>
      <c r="E66" s="317"/>
      <c r="F66" s="317"/>
      <c r="G66" s="317"/>
      <c r="H66" s="317"/>
      <c r="I66" s="317"/>
      <c r="K66" s="1559">
        <f>'STANDARD COMP.'!K66:L66</f>
        <v>0</v>
      </c>
      <c r="L66" s="1559"/>
      <c r="M66" s="493" t="str">
        <f>'STANDARD COMP.'!M66</f>
        <v/>
      </c>
      <c r="N66" s="1591"/>
      <c r="O66" s="1591"/>
      <c r="P66" s="513"/>
      <c r="Q66" s="514"/>
    </row>
    <row r="67" spans="2:17" x14ac:dyDescent="0.25">
      <c r="B67" s="1606" t="str">
        <f>FORM!I28</f>
        <v>selller</v>
      </c>
      <c r="C67" s="1606"/>
      <c r="D67" s="496"/>
      <c r="E67" s="317"/>
      <c r="F67" s="1606" t="str">
        <f>FORM!I26</f>
        <v>buyer</v>
      </c>
      <c r="G67" s="1606"/>
      <c r="H67" s="317"/>
      <c r="I67" s="317"/>
      <c r="K67" s="1559">
        <f>'STANDARD COMP.'!K67:L67</f>
        <v>0</v>
      </c>
      <c r="L67" s="1559"/>
      <c r="M67" s="493" t="str">
        <f>'STANDARD COMP.'!M67</f>
        <v/>
      </c>
      <c r="N67" s="1591"/>
      <c r="O67" s="1591"/>
      <c r="P67" s="513"/>
      <c r="Q67" s="514"/>
    </row>
    <row r="68" spans="2:17" x14ac:dyDescent="0.25">
      <c r="B68" s="364" t="s">
        <v>74</v>
      </c>
      <c r="C68" s="364"/>
      <c r="D68" s="357"/>
      <c r="E68" s="317"/>
      <c r="F68" s="364" t="s">
        <v>74</v>
      </c>
      <c r="G68" s="364"/>
      <c r="H68" s="317"/>
      <c r="I68" s="317"/>
      <c r="K68" s="1559"/>
      <c r="L68" s="1559"/>
      <c r="M68" s="493"/>
      <c r="N68" s="1591"/>
      <c r="O68" s="1591"/>
      <c r="P68" s="513"/>
      <c r="Q68" s="514"/>
    </row>
    <row r="69" spans="2:17" x14ac:dyDescent="0.25">
      <c r="K69" s="1559" t="s">
        <v>341</v>
      </c>
      <c r="L69" s="1559"/>
      <c r="M69" s="493">
        <f>M70</f>
        <v>45966</v>
      </c>
      <c r="N69" s="1591">
        <f>F25</f>
        <v>25400.020649006256</v>
      </c>
      <c r="O69" s="1591"/>
      <c r="P69" s="513"/>
      <c r="Q69" s="514"/>
    </row>
    <row r="70" spans="2:17" x14ac:dyDescent="0.25">
      <c r="K70" s="1592" t="s">
        <v>72</v>
      </c>
      <c r="L70" s="1592"/>
      <c r="M70" s="494">
        <f>'STANDARD COMP.'!M70</f>
        <v>45966</v>
      </c>
      <c r="N70" s="1593">
        <f>F33</f>
        <v>889000.72271521878</v>
      </c>
      <c r="O70" s="1593"/>
      <c r="P70" s="513"/>
      <c r="Q70" s="514"/>
    </row>
    <row r="71" spans="2:17" x14ac:dyDescent="0.25">
      <c r="K71" s="360"/>
      <c r="L71" s="317"/>
      <c r="M71" s="361"/>
      <c r="N71" s="317"/>
      <c r="O71" s="317"/>
      <c r="P71" s="317"/>
      <c r="Q71" s="317"/>
    </row>
    <row r="72" spans="2:17" x14ac:dyDescent="0.25">
      <c r="K72" s="360"/>
      <c r="L72" s="317"/>
      <c r="M72" s="361"/>
      <c r="N72" s="317"/>
      <c r="O72" s="317"/>
      <c r="P72" s="317"/>
      <c r="Q72" s="317"/>
    </row>
    <row r="73" spans="2:17" x14ac:dyDescent="0.25">
      <c r="K73" s="317"/>
      <c r="L73" s="317"/>
      <c r="M73" s="361"/>
      <c r="N73" s="317"/>
      <c r="O73" s="317"/>
      <c r="P73" s="317"/>
      <c r="Q73" s="317"/>
    </row>
    <row r="74" spans="2:17" x14ac:dyDescent="0.25">
      <c r="K74" s="23" t="s">
        <v>70</v>
      </c>
      <c r="L74" s="23"/>
      <c r="M74" s="23"/>
      <c r="N74" s="23"/>
      <c r="O74" s="317"/>
      <c r="P74" s="23" t="s">
        <v>71</v>
      </c>
      <c r="Q74" s="23"/>
    </row>
    <row r="75" spans="2:17" x14ac:dyDescent="0.25">
      <c r="K75" s="317"/>
      <c r="L75" s="317"/>
      <c r="M75" s="357"/>
      <c r="N75" s="317"/>
      <c r="O75" s="317"/>
      <c r="P75" s="317"/>
      <c r="Q75" s="317"/>
    </row>
    <row r="76" spans="2:17" x14ac:dyDescent="0.25">
      <c r="K76" s="317"/>
      <c r="L76" s="317"/>
      <c r="M76" s="357"/>
      <c r="N76" s="317"/>
      <c r="O76" s="317"/>
      <c r="P76" s="317"/>
      <c r="Q76" s="317"/>
    </row>
    <row r="77" spans="2:17" x14ac:dyDescent="0.25">
      <c r="K77" s="1606" t="str">
        <f>FORM!I28</f>
        <v>selller</v>
      </c>
      <c r="L77" s="1606"/>
      <c r="M77" s="1606"/>
      <c r="N77" s="317"/>
      <c r="O77" s="317"/>
      <c r="P77" s="1606" t="str">
        <f>FORM!I26</f>
        <v>buyer</v>
      </c>
      <c r="Q77" s="1606"/>
    </row>
    <row r="78" spans="2:17" x14ac:dyDescent="0.25">
      <c r="K78" s="364" t="s">
        <v>74</v>
      </c>
      <c r="L78" s="364"/>
      <c r="M78" s="365"/>
      <c r="N78" s="317"/>
      <c r="O78" s="317"/>
      <c r="P78" s="364" t="s">
        <v>74</v>
      </c>
      <c r="Q78" s="364"/>
    </row>
    <row r="79" spans="2:17" x14ac:dyDescent="0.25">
      <c r="M79" s="22"/>
    </row>
    <row r="80" spans="2:17" x14ac:dyDescent="0.25">
      <c r="M80" s="22"/>
    </row>
    <row r="112" spans="1:1" x14ac:dyDescent="0.25">
      <c r="A112" s="366">
        <f>F16*12%</f>
        <v>99934.507471500008</v>
      </c>
    </row>
  </sheetData>
  <sheetProtection password="CC2E" sheet="1" selectLockedCells="1"/>
  <mergeCells count="268">
    <mergeCell ref="K65:L65"/>
    <mergeCell ref="N65:O65"/>
    <mergeCell ref="K66:L66"/>
    <mergeCell ref="N66:O66"/>
    <mergeCell ref="K52:L52"/>
    <mergeCell ref="N52:O52"/>
    <mergeCell ref="K64:L64"/>
    <mergeCell ref="N64:O64"/>
    <mergeCell ref="K53:L53"/>
    <mergeCell ref="N53:O53"/>
    <mergeCell ref="K61:L61"/>
    <mergeCell ref="N61:O61"/>
    <mergeCell ref="K62:L62"/>
    <mergeCell ref="N62:O62"/>
    <mergeCell ref="K63:L63"/>
    <mergeCell ref="N63:O63"/>
    <mergeCell ref="K54:L54"/>
    <mergeCell ref="N54:O54"/>
    <mergeCell ref="K55:L55"/>
    <mergeCell ref="N55:O55"/>
    <mergeCell ref="K56:L56"/>
    <mergeCell ref="N56:O56"/>
    <mergeCell ref="K58:L58"/>
    <mergeCell ref="N58:O58"/>
    <mergeCell ref="K59:L59"/>
    <mergeCell ref="N59:O59"/>
    <mergeCell ref="B67:C67"/>
    <mergeCell ref="D63:F63"/>
    <mergeCell ref="D37:E37"/>
    <mergeCell ref="B49:C49"/>
    <mergeCell ref="D49:F49"/>
    <mergeCell ref="F67:G67"/>
    <mergeCell ref="G38:I38"/>
    <mergeCell ref="G39:I39"/>
    <mergeCell ref="G40:I40"/>
    <mergeCell ref="G41:I41"/>
    <mergeCell ref="K48:L48"/>
    <mergeCell ref="N48:O48"/>
    <mergeCell ref="N51:O51"/>
    <mergeCell ref="K67:L67"/>
    <mergeCell ref="B58:C59"/>
    <mergeCell ref="D58:F59"/>
    <mergeCell ref="G58:I59"/>
    <mergeCell ref="B60:C61"/>
    <mergeCell ref="K60:L60"/>
    <mergeCell ref="N60:O60"/>
    <mergeCell ref="D60:F61"/>
    <mergeCell ref="G60:I61"/>
    <mergeCell ref="P77:Q77"/>
    <mergeCell ref="K77:M77"/>
    <mergeCell ref="B28:C28"/>
    <mergeCell ref="B29:C29"/>
    <mergeCell ref="B31:C31"/>
    <mergeCell ref="B30:C30"/>
    <mergeCell ref="N67:O67"/>
    <mergeCell ref="K68:L68"/>
    <mergeCell ref="N68:O68"/>
    <mergeCell ref="G49:I49"/>
    <mergeCell ref="F33:I33"/>
    <mergeCell ref="K35:L35"/>
    <mergeCell ref="N35:O35"/>
    <mergeCell ref="B50:C51"/>
    <mergeCell ref="D50:F51"/>
    <mergeCell ref="N50:O50"/>
    <mergeCell ref="D40:E40"/>
    <mergeCell ref="K50:L50"/>
    <mergeCell ref="G37:I37"/>
    <mergeCell ref="K40:L40"/>
    <mergeCell ref="D38:E38"/>
    <mergeCell ref="D41:E41"/>
    <mergeCell ref="D39:E39"/>
    <mergeCell ref="K38:L38"/>
    <mergeCell ref="Z1:AA1"/>
    <mergeCell ref="AB1:AD1"/>
    <mergeCell ref="X6:AD6"/>
    <mergeCell ref="X7:AD7"/>
    <mergeCell ref="X8:AD8"/>
    <mergeCell ref="X9:AD9"/>
    <mergeCell ref="X10:AD10"/>
    <mergeCell ref="X11:Y11"/>
    <mergeCell ref="S3:AD4"/>
    <mergeCell ref="S1:T1"/>
    <mergeCell ref="U1:V1"/>
    <mergeCell ref="K32:L32"/>
    <mergeCell ref="N32:O32"/>
    <mergeCell ref="K25:L25"/>
    <mergeCell ref="K17:L17"/>
    <mergeCell ref="N17:O17"/>
    <mergeCell ref="N16:O16"/>
    <mergeCell ref="N9:Q9"/>
    <mergeCell ref="N13:O14"/>
    <mergeCell ref="P13:Q14"/>
    <mergeCell ref="N18:O18"/>
    <mergeCell ref="AJ46:AK46"/>
    <mergeCell ref="K70:L70"/>
    <mergeCell ref="N70:O70"/>
    <mergeCell ref="AJ47:AK47"/>
    <mergeCell ref="K41:L41"/>
    <mergeCell ref="N41:O41"/>
    <mergeCell ref="K44:L44"/>
    <mergeCell ref="N44:O44"/>
    <mergeCell ref="AJ44:AK44"/>
    <mergeCell ref="K47:L47"/>
    <mergeCell ref="N47:O47"/>
    <mergeCell ref="AJ45:AK45"/>
    <mergeCell ref="K43:L43"/>
    <mergeCell ref="N45:O45"/>
    <mergeCell ref="K46:L46"/>
    <mergeCell ref="N46:O46"/>
    <mergeCell ref="K69:L69"/>
    <mergeCell ref="N69:O69"/>
    <mergeCell ref="K45:L45"/>
    <mergeCell ref="K49:L49"/>
    <mergeCell ref="N49:O49"/>
    <mergeCell ref="K51:L51"/>
    <mergeCell ref="K57:L57"/>
    <mergeCell ref="N57:O57"/>
    <mergeCell ref="AJ38:AK38"/>
    <mergeCell ref="K33:L33"/>
    <mergeCell ref="N33:O33"/>
    <mergeCell ref="N43:O43"/>
    <mergeCell ref="AJ43:AK43"/>
    <mergeCell ref="K39:L39"/>
    <mergeCell ref="N39:O39"/>
    <mergeCell ref="AJ39:AK39"/>
    <mergeCell ref="K36:L36"/>
    <mergeCell ref="N36:O36"/>
    <mergeCell ref="AJ36:AK36"/>
    <mergeCell ref="K42:L42"/>
    <mergeCell ref="N42:O42"/>
    <mergeCell ref="AJ42:AK42"/>
    <mergeCell ref="K37:L37"/>
    <mergeCell ref="N37:O37"/>
    <mergeCell ref="AJ37:AK37"/>
    <mergeCell ref="N40:O40"/>
    <mergeCell ref="AJ40:AK40"/>
    <mergeCell ref="AJ41:AK41"/>
    <mergeCell ref="AJ35:AK35"/>
    <mergeCell ref="N38:O38"/>
    <mergeCell ref="K34:L34"/>
    <mergeCell ref="N34:O34"/>
    <mergeCell ref="AJ32:AK32"/>
    <mergeCell ref="K31:L31"/>
    <mergeCell ref="N31:O31"/>
    <mergeCell ref="AJ31:AK31"/>
    <mergeCell ref="AJ33:AK33"/>
    <mergeCell ref="K30:L30"/>
    <mergeCell ref="AJ30:AK30"/>
    <mergeCell ref="T31:U31"/>
    <mergeCell ref="G11:I11"/>
    <mergeCell ref="N11:O11"/>
    <mergeCell ref="P11:Q11"/>
    <mergeCell ref="F16:I16"/>
    <mergeCell ref="K16:L16"/>
    <mergeCell ref="F18:I18"/>
    <mergeCell ref="AJ26:AK26"/>
    <mergeCell ref="AJ24:AK24"/>
    <mergeCell ref="AJ25:AK25"/>
    <mergeCell ref="AJ17:AK17"/>
    <mergeCell ref="K15:L15"/>
    <mergeCell ref="K20:L20"/>
    <mergeCell ref="N20:O20"/>
    <mergeCell ref="K26:L26"/>
    <mergeCell ref="N26:O26"/>
    <mergeCell ref="AJ28:AK28"/>
    <mergeCell ref="AJ18:AK18"/>
    <mergeCell ref="T18:U18"/>
    <mergeCell ref="G29:I29"/>
    <mergeCell ref="G30:I30"/>
    <mergeCell ref="G31:I31"/>
    <mergeCell ref="K27:L27"/>
    <mergeCell ref="K28:L28"/>
    <mergeCell ref="N28:O28"/>
    <mergeCell ref="AJ29:AK29"/>
    <mergeCell ref="F24:I24"/>
    <mergeCell ref="N25:O25"/>
    <mergeCell ref="N30:O30"/>
    <mergeCell ref="K29:L29"/>
    <mergeCell ref="N29:O29"/>
    <mergeCell ref="F19:I19"/>
    <mergeCell ref="K19:L19"/>
    <mergeCell ref="N19:O19"/>
    <mergeCell ref="AJ19:AK19"/>
    <mergeCell ref="AJ20:AK20"/>
    <mergeCell ref="T30:U30"/>
    <mergeCell ref="T24:U24"/>
    <mergeCell ref="AP35:AQ35"/>
    <mergeCell ref="T25:U25"/>
    <mergeCell ref="F21:I21"/>
    <mergeCell ref="K21:L21"/>
    <mergeCell ref="N21:O21"/>
    <mergeCell ref="AJ21:AK21"/>
    <mergeCell ref="K22:L22"/>
    <mergeCell ref="N22:O22"/>
    <mergeCell ref="AJ22:AK22"/>
    <mergeCell ref="K23:L23"/>
    <mergeCell ref="N23:O23"/>
    <mergeCell ref="AJ23:AK23"/>
    <mergeCell ref="AJ27:AK27"/>
    <mergeCell ref="F23:I23"/>
    <mergeCell ref="K24:L24"/>
    <mergeCell ref="N24:O24"/>
    <mergeCell ref="G28:I28"/>
    <mergeCell ref="N27:O27"/>
    <mergeCell ref="AP22:AQ22"/>
    <mergeCell ref="AP23:AQ23"/>
    <mergeCell ref="AP24:AQ24"/>
    <mergeCell ref="AP25:AQ25"/>
    <mergeCell ref="AP26:AQ26"/>
    <mergeCell ref="AJ34:AK34"/>
    <mergeCell ref="AP46:AQ46"/>
    <mergeCell ref="AP17:AQ17"/>
    <mergeCell ref="AP36:AQ36"/>
    <mergeCell ref="AP37:AQ37"/>
    <mergeCell ref="AP38:AQ38"/>
    <mergeCell ref="AP39:AQ39"/>
    <mergeCell ref="AP40:AQ40"/>
    <mergeCell ref="AP41:AQ41"/>
    <mergeCell ref="AP42:AQ42"/>
    <mergeCell ref="AP43:AQ43"/>
    <mergeCell ref="AP44:AQ44"/>
    <mergeCell ref="AP27:AQ27"/>
    <mergeCell ref="AP28:AQ28"/>
    <mergeCell ref="AP29:AQ29"/>
    <mergeCell ref="AP30:AQ30"/>
    <mergeCell ref="AP31:AQ31"/>
    <mergeCell ref="AP32:AQ32"/>
    <mergeCell ref="AP33:AQ33"/>
    <mergeCell ref="AP34:AQ34"/>
    <mergeCell ref="AP45:AQ45"/>
    <mergeCell ref="AP18:AQ18"/>
    <mergeCell ref="AP19:AQ19"/>
    <mergeCell ref="AP20:AQ20"/>
    <mergeCell ref="AP21:AQ21"/>
    <mergeCell ref="B3:I4"/>
    <mergeCell ref="K3:Q4"/>
    <mergeCell ref="E6:I6"/>
    <mergeCell ref="N6:Q6"/>
    <mergeCell ref="G1:I1"/>
    <mergeCell ref="N15:O15"/>
    <mergeCell ref="T19:U19"/>
    <mergeCell ref="F26:I26"/>
    <mergeCell ref="M13:M14"/>
    <mergeCell ref="F13:I13"/>
    <mergeCell ref="F15:I15"/>
    <mergeCell ref="E7:I7"/>
    <mergeCell ref="N7:Q7"/>
    <mergeCell ref="E8:I8"/>
    <mergeCell ref="N8:Q8"/>
    <mergeCell ref="S13:AD13"/>
    <mergeCell ref="K13:L14"/>
    <mergeCell ref="N10:Q10"/>
    <mergeCell ref="E11:F11"/>
    <mergeCell ref="E9:I9"/>
    <mergeCell ref="E10:I10"/>
    <mergeCell ref="B14:C14"/>
    <mergeCell ref="F14:I14"/>
    <mergeCell ref="K18:L18"/>
    <mergeCell ref="G50:I51"/>
    <mergeCell ref="G52:I53"/>
    <mergeCell ref="D52:F53"/>
    <mergeCell ref="B52:C53"/>
    <mergeCell ref="B54:C55"/>
    <mergeCell ref="D54:F55"/>
    <mergeCell ref="G54:I55"/>
    <mergeCell ref="B56:C57"/>
    <mergeCell ref="D56:F57"/>
    <mergeCell ref="G56:I57"/>
  </mergeCells>
  <phoneticPr fontId="29" type="noConversion"/>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80" man="1"/>
  </col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21</xdr:col>
                    <xdr:colOff>76200</xdr:colOff>
                    <xdr:row>15</xdr:row>
                    <xdr:rowOff>0</xdr:rowOff>
                  </from>
                  <to>
                    <xdr:col>21</xdr:col>
                    <xdr:colOff>298450</xdr:colOff>
                    <xdr:row>16</xdr:row>
                    <xdr:rowOff>63500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21</xdr:col>
                    <xdr:colOff>76200</xdr:colOff>
                    <xdr:row>16</xdr:row>
                    <xdr:rowOff>190500</xdr:rowOff>
                  </from>
                  <to>
                    <xdr:col>21</xdr:col>
                    <xdr:colOff>298450</xdr:colOff>
                    <xdr:row>18</xdr:row>
                    <xdr:rowOff>38100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76200</xdr:colOff>
                    <xdr:row>21</xdr:row>
                    <xdr:rowOff>0</xdr:rowOff>
                  </from>
                  <to>
                    <xdr:col>21</xdr:col>
                    <xdr:colOff>292100</xdr:colOff>
                    <xdr:row>22</xdr:row>
                    <xdr:rowOff>63500</xdr:rowOff>
                  </to>
                </anchor>
              </controlPr>
            </control>
          </mc:Choice>
        </mc:AlternateContent>
        <mc:AlternateContent xmlns:mc="http://schemas.openxmlformats.org/markup-compatibility/2006">
          <mc:Choice Requires="x14">
            <control shapeId="9222" r:id="rId7" name="Check Box 6">
              <controlPr defaultSize="0" autoFill="0" autoLine="0" autoPict="0">
                <anchor moveWithCells="1">
                  <from>
                    <xdr:col>21</xdr:col>
                    <xdr:colOff>69850</xdr:colOff>
                    <xdr:row>22</xdr:row>
                    <xdr:rowOff>190500</xdr:rowOff>
                  </from>
                  <to>
                    <xdr:col>21</xdr:col>
                    <xdr:colOff>292100</xdr:colOff>
                    <xdr:row>24</xdr:row>
                    <xdr:rowOff>38100</xdr:rowOff>
                  </to>
                </anchor>
              </controlPr>
            </control>
          </mc:Choice>
        </mc:AlternateContent>
        <mc:AlternateContent xmlns:mc="http://schemas.openxmlformats.org/markup-compatibility/2006">
          <mc:Choice Requires="x14">
            <control shapeId="9223" r:id="rId8" name="Check Box 7">
              <controlPr defaultSize="0" autoFill="0" autoLine="0" autoPict="0">
                <anchor moveWithCells="1">
                  <from>
                    <xdr:col>21</xdr:col>
                    <xdr:colOff>76200</xdr:colOff>
                    <xdr:row>27</xdr:row>
                    <xdr:rowOff>0</xdr:rowOff>
                  </from>
                  <to>
                    <xdr:col>21</xdr:col>
                    <xdr:colOff>292100</xdr:colOff>
                    <xdr:row>28</xdr:row>
                    <xdr:rowOff>63500</xdr:rowOff>
                  </to>
                </anchor>
              </controlPr>
            </control>
          </mc:Choice>
        </mc:AlternateContent>
        <mc:AlternateContent xmlns:mc="http://schemas.openxmlformats.org/markup-compatibility/2006">
          <mc:Choice Requires="x14">
            <control shapeId="9224" r:id="rId9" name="Check Box 8">
              <controlPr defaultSize="0" autoFill="0" autoLine="0" autoPict="0">
                <anchor moveWithCells="1">
                  <from>
                    <xdr:col>21</xdr:col>
                    <xdr:colOff>69850</xdr:colOff>
                    <xdr:row>28</xdr:row>
                    <xdr:rowOff>190500</xdr:rowOff>
                  </from>
                  <to>
                    <xdr:col>21</xdr:col>
                    <xdr:colOff>292100</xdr:colOff>
                    <xdr:row>30</xdr:row>
                    <xdr:rowOff>38100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dimension ref="A1:U123"/>
  <sheetViews>
    <sheetView showGridLines="0" showZeros="0" view="pageLayout" topLeftCell="A91" zoomScaleNormal="100" zoomScaleSheetLayoutView="85" workbookViewId="0">
      <selection activeCell="I97" sqref="I97:O97"/>
    </sheetView>
  </sheetViews>
  <sheetFormatPr defaultColWidth="9.1796875" defaultRowHeight="13.5" x14ac:dyDescent="0.25"/>
  <cols>
    <col min="1" max="1" width="2.81640625" style="7" customWidth="1"/>
    <col min="2" max="2" width="1.54296875" style="7" customWidth="1"/>
    <col min="3" max="3" width="5.54296875" style="7" customWidth="1"/>
    <col min="4" max="4" width="2.81640625" style="7" customWidth="1"/>
    <col min="5" max="5" width="7" style="7" customWidth="1"/>
    <col min="6" max="6" width="5.1796875" style="7" customWidth="1"/>
    <col min="7" max="7" width="3.453125" style="7" customWidth="1"/>
    <col min="8" max="8" width="4.54296875" style="7" customWidth="1"/>
    <col min="9" max="9" width="5.81640625" style="7" customWidth="1"/>
    <col min="10" max="10" width="3.1796875" style="7" customWidth="1"/>
    <col min="11" max="11" width="4.81640625" style="7" customWidth="1"/>
    <col min="12" max="12" width="4.1796875" style="7" customWidth="1"/>
    <col min="13" max="13" width="5.81640625" style="7" customWidth="1"/>
    <col min="14" max="14" width="3.1796875" style="7" customWidth="1"/>
    <col min="15" max="15" width="4.453125" style="7" customWidth="1"/>
    <col min="16" max="16" width="9.453125" style="7" customWidth="1"/>
    <col min="17" max="17" width="5.1796875" style="7" customWidth="1"/>
    <col min="18" max="18" width="14.1796875" style="7" customWidth="1"/>
    <col min="19" max="19" width="2.81640625" style="7" customWidth="1"/>
    <col min="20" max="20" width="10.1796875" style="7" customWidth="1"/>
    <col min="21" max="21" width="2.81640625" style="7" customWidth="1"/>
    <col min="22" max="16384" width="9.1796875" style="7"/>
  </cols>
  <sheetData>
    <row r="1" spans="1:21" ht="6.75" customHeight="1" x14ac:dyDescent="0.25">
      <c r="G1" s="64"/>
      <c r="H1" s="64"/>
      <c r="I1" s="64"/>
      <c r="J1" s="64"/>
      <c r="K1" s="64"/>
      <c r="L1" s="64"/>
      <c r="M1" s="64"/>
      <c r="N1" s="64"/>
      <c r="O1" s="64"/>
      <c r="P1" s="64"/>
      <c r="Q1" s="64"/>
      <c r="R1" s="64"/>
      <c r="S1" s="64"/>
      <c r="T1" s="64"/>
    </row>
    <row r="2" spans="1:21" ht="14.25" customHeight="1" x14ac:dyDescent="0.25">
      <c r="U2" s="65"/>
    </row>
    <row r="3" spans="1:21" x14ac:dyDescent="0.25">
      <c r="A3" s="33" t="s">
        <v>117</v>
      </c>
      <c r="B3" s="33"/>
      <c r="C3" s="90"/>
      <c r="D3" s="1356" t="str">
        <f>FORM!I26</f>
        <v>buyer</v>
      </c>
      <c r="E3" s="1356"/>
      <c r="F3" s="1356"/>
      <c r="G3" s="1356"/>
      <c r="H3" s="1356"/>
      <c r="I3" s="1356"/>
      <c r="J3" s="1356"/>
      <c r="K3" s="1356"/>
      <c r="L3" s="1356"/>
      <c r="M3" s="1356"/>
      <c r="N3" s="1356"/>
      <c r="O3" s="1356"/>
      <c r="P3" s="1356"/>
      <c r="Q3" s="1356"/>
      <c r="R3" s="33"/>
      <c r="S3" s="33"/>
      <c r="T3" s="33"/>
      <c r="U3" s="35" t="s">
        <v>118</v>
      </c>
    </row>
    <row r="4" spans="1:21" x14ac:dyDescent="0.25">
      <c r="A4" s="1350" t="str">
        <f>FORM!I30</f>
        <v>address</v>
      </c>
      <c r="B4" s="1350"/>
      <c r="C4" s="1350"/>
      <c r="D4" s="1350"/>
      <c r="E4" s="1350"/>
      <c r="F4" s="1350"/>
      <c r="G4" s="1350"/>
      <c r="H4" s="1350"/>
      <c r="I4" s="1350"/>
      <c r="J4" s="1350"/>
      <c r="K4" s="1350"/>
      <c r="L4" s="1350"/>
      <c r="M4" s="1350"/>
      <c r="N4" s="1350"/>
      <c r="O4" s="1350"/>
      <c r="P4" s="1350"/>
      <c r="Q4" s="1350"/>
      <c r="R4" s="33"/>
      <c r="S4" s="33"/>
      <c r="T4" s="33"/>
      <c r="U4" s="35" t="s">
        <v>119</v>
      </c>
    </row>
    <row r="5" spans="1:21" ht="16.5" customHeight="1" x14ac:dyDescent="0.25">
      <c r="A5" s="1357" t="s">
        <v>120</v>
      </c>
      <c r="B5" s="1357"/>
      <c r="C5" s="1357"/>
      <c r="D5" s="1357"/>
      <c r="E5" s="1357"/>
      <c r="F5" s="1357"/>
      <c r="G5" s="1357"/>
      <c r="H5" s="1357"/>
      <c r="I5" s="1357"/>
      <c r="J5" s="1357"/>
      <c r="K5" s="1357"/>
      <c r="L5" s="1357"/>
      <c r="M5" s="1357"/>
      <c r="N5" s="1357"/>
      <c r="O5" s="1357"/>
      <c r="P5" s="1357"/>
      <c r="Q5" s="1357"/>
      <c r="R5" s="1357"/>
      <c r="S5" s="1357"/>
      <c r="T5" s="1357"/>
      <c r="U5" s="1357"/>
    </row>
    <row r="6" spans="1:21" x14ac:dyDescent="0.25">
      <c r="A6" s="1357"/>
      <c r="B6" s="1357"/>
      <c r="C6" s="1357"/>
      <c r="D6" s="1357"/>
      <c r="E6" s="1357"/>
      <c r="F6" s="1357"/>
      <c r="G6" s="1357"/>
      <c r="H6" s="1357"/>
      <c r="I6" s="1357"/>
      <c r="J6" s="1357"/>
      <c r="K6" s="1357"/>
      <c r="L6" s="1357"/>
      <c r="M6" s="1357"/>
      <c r="N6" s="1357"/>
      <c r="O6" s="1357"/>
      <c r="P6" s="1357"/>
      <c r="Q6" s="1357"/>
      <c r="R6" s="1357"/>
      <c r="S6" s="1357"/>
      <c r="T6" s="1357"/>
      <c r="U6" s="1357"/>
    </row>
    <row r="7" spans="1:21" ht="9" customHeight="1" x14ac:dyDescent="0.25">
      <c r="A7" s="33"/>
      <c r="B7" s="33"/>
      <c r="C7" s="33"/>
      <c r="D7" s="33"/>
      <c r="E7" s="33"/>
      <c r="F7" s="33"/>
      <c r="G7" s="33"/>
      <c r="H7" s="33"/>
      <c r="I7" s="33"/>
      <c r="J7" s="33"/>
      <c r="K7" s="33"/>
      <c r="L7" s="33"/>
      <c r="M7" s="33"/>
      <c r="N7" s="33"/>
      <c r="O7" s="33"/>
      <c r="P7" s="33"/>
      <c r="Q7" s="33"/>
      <c r="R7" s="33"/>
      <c r="S7" s="33"/>
      <c r="T7" s="33"/>
      <c r="U7" s="33"/>
    </row>
    <row r="8" spans="1:21" ht="16.5" customHeight="1" x14ac:dyDescent="0.25">
      <c r="A8" s="33" t="s">
        <v>121</v>
      </c>
      <c r="B8" s="33"/>
      <c r="C8" s="33"/>
      <c r="D8" s="33"/>
      <c r="E8" s="33"/>
      <c r="F8" s="33"/>
      <c r="G8" s="33"/>
      <c r="H8" s="1356" t="str">
        <f>FORM!AB11</f>
        <v>Iloilo Southprime Developers Inc.</v>
      </c>
      <c r="I8" s="1356"/>
      <c r="J8" s="1356"/>
      <c r="K8" s="1356"/>
      <c r="L8" s="1356"/>
      <c r="M8" s="1356"/>
      <c r="N8" s="1356"/>
      <c r="O8" s="1356"/>
      <c r="P8" s="33"/>
      <c r="Q8" s="33"/>
      <c r="R8" s="33"/>
      <c r="S8" s="33"/>
      <c r="T8" s="33"/>
      <c r="U8" s="35" t="s">
        <v>122</v>
      </c>
    </row>
    <row r="9" spans="1:21" x14ac:dyDescent="0.25">
      <c r="A9" s="1358" t="s">
        <v>123</v>
      </c>
      <c r="B9" s="1358"/>
      <c r="C9" s="1358"/>
      <c r="D9" s="1358"/>
      <c r="E9" s="1358"/>
      <c r="F9" s="1358"/>
      <c r="G9" s="1358"/>
      <c r="H9" s="1358"/>
      <c r="I9" s="1358"/>
      <c r="J9" s="1358"/>
      <c r="K9" s="1358"/>
      <c r="L9" s="1358"/>
      <c r="M9" s="1358"/>
      <c r="N9" s="1358"/>
      <c r="O9" s="1358"/>
      <c r="P9" s="1358"/>
      <c r="Q9" s="1358"/>
      <c r="R9" s="1358"/>
      <c r="S9" s="1358"/>
      <c r="T9" s="1358"/>
      <c r="U9" s="1358"/>
    </row>
    <row r="10" spans="1:21" x14ac:dyDescent="0.25">
      <c r="A10" s="1311" t="str">
        <f>FORM!AB12</f>
        <v>Avancena St Brgy. Avancena Molo Iloilo City</v>
      </c>
      <c r="B10" s="1311"/>
      <c r="C10" s="1311"/>
      <c r="D10" s="1311"/>
      <c r="E10" s="1311"/>
      <c r="F10" s="1311"/>
      <c r="G10" s="1311"/>
      <c r="H10" s="1311"/>
      <c r="I10" s="1311"/>
      <c r="J10" s="1311"/>
      <c r="K10" s="1311"/>
      <c r="L10" s="1311"/>
      <c r="M10" s="1311"/>
      <c r="N10" s="1311"/>
      <c r="O10" s="1311"/>
      <c r="P10" s="1311"/>
      <c r="Q10" s="33"/>
      <c r="R10" s="33"/>
      <c r="S10" s="33"/>
      <c r="T10" s="33"/>
      <c r="U10" s="35" t="s">
        <v>124</v>
      </c>
    </row>
    <row r="11" spans="1:21" x14ac:dyDescent="0.25">
      <c r="A11" s="33" t="s">
        <v>125</v>
      </c>
      <c r="B11" s="33"/>
      <c r="C11" s="33"/>
      <c r="D11" s="33"/>
      <c r="E11" s="33"/>
      <c r="F11" s="33"/>
      <c r="G11" s="33"/>
      <c r="H11" s="33"/>
      <c r="I11" s="1350" t="str">
        <f>FORM!I11</f>
        <v>The Southprime Flats</v>
      </c>
      <c r="J11" s="1350"/>
      <c r="K11" s="1350"/>
      <c r="L11" s="1350"/>
      <c r="M11" s="1350"/>
      <c r="N11" s="1350"/>
      <c r="O11" s="1350"/>
      <c r="P11" s="1350"/>
      <c r="Q11" s="1350"/>
      <c r="R11" s="1350"/>
      <c r="S11" s="1350"/>
      <c r="T11" s="1350"/>
      <c r="U11" s="1350"/>
    </row>
    <row r="12" spans="1:21" x14ac:dyDescent="0.25">
      <c r="A12" s="33" t="s">
        <v>126</v>
      </c>
      <c r="B12" s="33"/>
      <c r="C12" s="33"/>
      <c r="D12" s="33"/>
      <c r="E12" s="33"/>
      <c r="F12" s="33"/>
      <c r="G12" s="33"/>
      <c r="H12" s="33"/>
      <c r="I12" s="33"/>
      <c r="J12" s="33"/>
      <c r="K12" s="33"/>
      <c r="L12" s="33"/>
      <c r="M12" s="1351" t="str">
        <f>FORM!AB13</f>
        <v>Abeto Street, Brgy. Abeto-Mirasol, Mandurriao, Iloilo City</v>
      </c>
      <c r="N12" s="1351"/>
      <c r="O12" s="1351"/>
      <c r="P12" s="1351"/>
      <c r="Q12" s="1351"/>
      <c r="R12" s="1351"/>
      <c r="S12" s="1351"/>
      <c r="T12" s="1351"/>
      <c r="U12" s="1351"/>
    </row>
    <row r="13" spans="1:21" x14ac:dyDescent="0.25">
      <c r="A13" s="33" t="s">
        <v>127</v>
      </c>
      <c r="B13" s="33"/>
      <c r="C13" s="33"/>
      <c r="D13" s="33"/>
      <c r="E13" s="33"/>
      <c r="F13" s="33"/>
      <c r="G13" s="33"/>
      <c r="H13" s="33"/>
      <c r="I13" s="33"/>
      <c r="J13" s="33"/>
      <c r="K13" s="1352" t="str">
        <f>'STANDARD COMP.'!E10</f>
        <v>Single Slot</v>
      </c>
      <c r="L13" s="1350"/>
      <c r="M13" s="1350"/>
      <c r="N13" s="1350"/>
      <c r="O13" s="1350"/>
      <c r="P13" s="1350"/>
      <c r="Q13" s="1350"/>
      <c r="R13" s="1350"/>
      <c r="S13" s="1350"/>
      <c r="T13" s="1350"/>
      <c r="U13" s="1350"/>
    </row>
    <row r="14" spans="1:21" ht="13.5" customHeight="1" x14ac:dyDescent="0.25">
      <c r="A14" s="33" t="s">
        <v>128</v>
      </c>
      <c r="B14" s="33"/>
      <c r="C14" s="33"/>
      <c r="D14" s="33"/>
      <c r="E14" s="33"/>
      <c r="F14" s="33"/>
      <c r="G14" s="33"/>
      <c r="H14" s="33"/>
      <c r="I14" s="33"/>
      <c r="J14" s="33"/>
      <c r="K14" s="33"/>
      <c r="L14" s="33"/>
      <c r="M14" s="33"/>
      <c r="N14" s="33"/>
      <c r="O14" s="33"/>
      <c r="P14" s="33"/>
      <c r="Q14" s="33"/>
      <c r="R14" s="33"/>
      <c r="S14" s="33"/>
      <c r="T14" s="33"/>
      <c r="U14" s="33"/>
    </row>
    <row r="15" spans="1:21" x14ac:dyDescent="0.25">
      <c r="A15" s="33"/>
      <c r="B15" s="33"/>
      <c r="C15" s="33"/>
      <c r="D15" s="33"/>
      <c r="E15" s="33"/>
      <c r="F15" s="33"/>
      <c r="G15" s="33"/>
      <c r="H15" s="33"/>
      <c r="I15" s="33"/>
      <c r="J15" s="33"/>
      <c r="K15" s="33"/>
      <c r="L15" s="33"/>
      <c r="M15" s="33"/>
      <c r="N15" s="33"/>
      <c r="O15" s="33"/>
      <c r="P15" s="33"/>
      <c r="Q15" s="33"/>
      <c r="R15" s="33"/>
      <c r="S15" s="33"/>
      <c r="T15" s="33"/>
      <c r="U15" s="33"/>
    </row>
    <row r="16" spans="1:21" x14ac:dyDescent="0.25">
      <c r="A16" s="37" t="s">
        <v>129</v>
      </c>
      <c r="B16" s="38"/>
      <c r="C16" s="38"/>
      <c r="D16" s="36"/>
      <c r="E16" s="1351" t="str">
        <f>FORM!I11</f>
        <v>The Southprime Flats</v>
      </c>
      <c r="F16" s="1351"/>
      <c r="G16" s="1351"/>
      <c r="H16" s="1351"/>
      <c r="I16" s="1351"/>
      <c r="J16" s="1351"/>
      <c r="K16" s="1351"/>
      <c r="L16" s="1351"/>
      <c r="M16" s="1351"/>
      <c r="N16" s="1351"/>
      <c r="O16" s="1351"/>
      <c r="P16" s="1351"/>
      <c r="Q16" s="1351"/>
      <c r="R16" s="1351"/>
      <c r="S16" s="1351"/>
      <c r="T16" s="1351"/>
      <c r="U16" s="69"/>
    </row>
    <row r="17" spans="1:21" ht="14" x14ac:dyDescent="0.3">
      <c r="A17" s="39" t="s">
        <v>130</v>
      </c>
      <c r="B17" s="40"/>
      <c r="C17" s="40"/>
      <c r="D17" s="41"/>
      <c r="E17" s="42" t="s">
        <v>171</v>
      </c>
      <c r="F17" s="41"/>
      <c r="G17" s="41"/>
      <c r="H17" s="41"/>
      <c r="I17" s="41"/>
      <c r="J17" s="41"/>
      <c r="K17" s="41"/>
      <c r="L17" s="67" t="s">
        <v>170</v>
      </c>
      <c r="M17" s="41"/>
      <c r="N17" s="41"/>
      <c r="O17" s="41"/>
      <c r="P17" s="41"/>
      <c r="Q17" s="41"/>
      <c r="R17" s="41"/>
      <c r="S17" s="41"/>
      <c r="T17" s="42" t="s">
        <v>131</v>
      </c>
      <c r="U17" s="66"/>
    </row>
    <row r="18" spans="1:21" ht="14" x14ac:dyDescent="0.3">
      <c r="A18" s="43"/>
      <c r="B18" s="10"/>
      <c r="C18" s="10"/>
      <c r="D18" s="10"/>
      <c r="E18" s="44" t="s">
        <v>175</v>
      </c>
      <c r="F18" s="10"/>
      <c r="G18" s="10"/>
      <c r="H18" s="10"/>
      <c r="I18" s="10"/>
      <c r="J18" s="10"/>
      <c r="K18" s="10"/>
      <c r="L18" s="44" t="s">
        <v>135</v>
      </c>
      <c r="M18" s="10"/>
      <c r="N18" s="10"/>
      <c r="O18" s="10"/>
      <c r="P18" s="10"/>
      <c r="Q18" s="10"/>
      <c r="R18" s="10"/>
      <c r="S18" s="10"/>
      <c r="T18" s="44" t="s">
        <v>172</v>
      </c>
      <c r="U18" s="45"/>
    </row>
    <row r="19" spans="1:21" x14ac:dyDescent="0.25">
      <c r="T19" s="7" t="s">
        <v>1</v>
      </c>
    </row>
    <row r="20" spans="1:21" ht="14" x14ac:dyDescent="0.3">
      <c r="A20" s="1353" t="s">
        <v>132</v>
      </c>
      <c r="B20" s="1354"/>
      <c r="C20" s="1354"/>
      <c r="D20" s="1354"/>
      <c r="E20" s="1354"/>
      <c r="F20" s="1355"/>
      <c r="G20" s="1353" t="s">
        <v>133</v>
      </c>
      <c r="H20" s="1354"/>
      <c r="I20" s="1354"/>
      <c r="J20" s="1354"/>
      <c r="K20" s="1354"/>
      <c r="L20" s="1355"/>
      <c r="M20" s="1353" t="s">
        <v>134</v>
      </c>
      <c r="N20" s="1354"/>
      <c r="O20" s="1354"/>
      <c r="P20" s="1354"/>
      <c r="Q20" s="1355"/>
      <c r="R20" s="1353" t="s">
        <v>135</v>
      </c>
      <c r="S20" s="1354"/>
      <c r="T20" s="1354"/>
      <c r="U20" s="1355"/>
    </row>
    <row r="21" spans="1:21" ht="14" x14ac:dyDescent="0.3">
      <c r="A21" s="50" t="s">
        <v>136</v>
      </c>
      <c r="B21" s="51"/>
      <c r="C21" s="51"/>
      <c r="D21" s="1348"/>
      <c r="E21" s="1474"/>
      <c r="F21" s="1349"/>
      <c r="G21" s="50" t="s">
        <v>136</v>
      </c>
      <c r="H21" s="51"/>
      <c r="I21" s="52"/>
      <c r="J21" s="1330" t="str">
        <f>FORM!I14</f>
        <v>Building 1</v>
      </c>
      <c r="K21" s="1331"/>
      <c r="L21" s="1332"/>
      <c r="M21" s="50" t="s">
        <v>137</v>
      </c>
      <c r="N21" s="51"/>
      <c r="O21" s="52"/>
      <c r="P21" s="1333"/>
      <c r="Q21" s="1334"/>
      <c r="R21" s="98" t="s">
        <v>136</v>
      </c>
      <c r="S21" s="99"/>
      <c r="T21" s="1327"/>
      <c r="U21" s="1329"/>
    </row>
    <row r="22" spans="1:21" ht="14" x14ac:dyDescent="0.3">
      <c r="A22" s="48" t="s">
        <v>94</v>
      </c>
      <c r="B22" s="49"/>
      <c r="C22" s="49"/>
      <c r="D22" s="1327" t="str">
        <f>FORM!I16</f>
        <v>Ground Floor</v>
      </c>
      <c r="E22" s="1328"/>
      <c r="F22" s="1329"/>
      <c r="G22" s="50" t="s">
        <v>138</v>
      </c>
      <c r="H22" s="51"/>
      <c r="I22" s="52"/>
      <c r="J22" s="1330" t="str">
        <f>D22</f>
        <v>Ground Floor</v>
      </c>
      <c r="K22" s="1331"/>
      <c r="L22" s="1332"/>
      <c r="M22" s="50" t="s">
        <v>139</v>
      </c>
      <c r="N22" s="51"/>
      <c r="O22" s="52"/>
      <c r="P22" s="1333"/>
      <c r="Q22" s="1334"/>
      <c r="R22" s="98" t="s">
        <v>95</v>
      </c>
      <c r="S22" s="99"/>
      <c r="T22" s="1327"/>
      <c r="U22" s="1329"/>
    </row>
    <row r="23" spans="1:21" ht="14" x14ac:dyDescent="0.3">
      <c r="A23" s="50" t="s">
        <v>95</v>
      </c>
      <c r="B23" s="51"/>
      <c r="C23" s="52"/>
      <c r="D23" s="1327" t="str">
        <f>FORM!I18</f>
        <v>GF-B1-12</v>
      </c>
      <c r="E23" s="1328"/>
      <c r="F23" s="1329"/>
      <c r="G23" s="50" t="s">
        <v>140</v>
      </c>
      <c r="H23" s="51"/>
      <c r="I23" s="52"/>
      <c r="J23" s="1330" t="str">
        <f>D23</f>
        <v>GF-B1-12</v>
      </c>
      <c r="K23" s="1331"/>
      <c r="L23" s="1332"/>
      <c r="M23" s="50" t="s">
        <v>141</v>
      </c>
      <c r="N23" s="51"/>
      <c r="O23" s="52"/>
      <c r="P23" s="1333"/>
      <c r="Q23" s="1334"/>
      <c r="R23" s="98" t="s">
        <v>142</v>
      </c>
      <c r="S23" s="99"/>
      <c r="T23" s="1327"/>
      <c r="U23" s="1329"/>
    </row>
    <row r="24" spans="1:21" ht="16.5" customHeight="1" x14ac:dyDescent="0.3">
      <c r="A24" s="48" t="s">
        <v>68</v>
      </c>
      <c r="B24" s="49"/>
      <c r="C24" s="49"/>
      <c r="D24" s="1335"/>
      <c r="E24" s="1336"/>
      <c r="F24" s="1337"/>
      <c r="G24" s="50" t="s">
        <v>142</v>
      </c>
      <c r="H24" s="51"/>
      <c r="I24" s="52"/>
      <c r="J24" s="1338">
        <f>'SPOT EQUITY_30DAYS'!E12</f>
        <v>13.5</v>
      </c>
      <c r="K24" s="1331"/>
      <c r="L24" s="1332"/>
      <c r="M24" s="48" t="s">
        <v>143</v>
      </c>
      <c r="N24" s="49"/>
      <c r="O24" s="49"/>
      <c r="P24" s="1333"/>
      <c r="Q24" s="1334"/>
      <c r="R24" s="1339" t="s">
        <v>144</v>
      </c>
      <c r="S24" s="1340"/>
      <c r="T24" s="1343"/>
      <c r="U24" s="1344"/>
    </row>
    <row r="25" spans="1:21" ht="14" x14ac:dyDescent="0.3">
      <c r="A25" s="50" t="s">
        <v>96</v>
      </c>
      <c r="B25" s="51"/>
      <c r="C25" s="52"/>
      <c r="D25" s="1347" t="str">
        <f>K13</f>
        <v>Single Slot</v>
      </c>
      <c r="E25" s="1328"/>
      <c r="F25" s="1329"/>
      <c r="G25" s="50" t="s">
        <v>145</v>
      </c>
      <c r="H25" s="51"/>
      <c r="I25" s="52"/>
      <c r="J25" s="1362" t="str">
        <f>D25</f>
        <v>Single Slot</v>
      </c>
      <c r="K25" s="1331"/>
      <c r="L25" s="1332"/>
      <c r="M25" s="50" t="s">
        <v>146</v>
      </c>
      <c r="N25" s="51"/>
      <c r="O25" s="52"/>
      <c r="P25" s="1348"/>
      <c r="Q25" s="1349"/>
      <c r="R25" s="1341"/>
      <c r="S25" s="1342"/>
      <c r="T25" s="1345"/>
      <c r="U25" s="1346"/>
    </row>
    <row r="27" spans="1:21" ht="14" x14ac:dyDescent="0.3">
      <c r="A27" s="50" t="s">
        <v>109</v>
      </c>
      <c r="B27" s="51"/>
      <c r="C27" s="51"/>
      <c r="D27" s="51"/>
      <c r="E27" s="51"/>
      <c r="F27" s="51"/>
      <c r="G27" s="51"/>
      <c r="H27" s="52"/>
      <c r="I27" s="1419">
        <f>'SPECIAL PACKAGE'!F13</f>
        <v>832787.56226250005</v>
      </c>
      <c r="J27" s="1420"/>
      <c r="K27" s="1420"/>
      <c r="L27" s="1420"/>
      <c r="M27" s="1420"/>
      <c r="N27" s="1420"/>
      <c r="O27" s="1420"/>
      <c r="P27" s="1420"/>
      <c r="Q27" s="1420"/>
      <c r="R27" s="1420"/>
      <c r="S27" s="1420"/>
      <c r="T27" s="1420"/>
      <c r="U27" s="1421"/>
    </row>
    <row r="28" spans="1:21" ht="14" x14ac:dyDescent="0.3">
      <c r="A28" s="50" t="s">
        <v>147</v>
      </c>
      <c r="B28" s="51"/>
      <c r="C28" s="53"/>
      <c r="D28" s="53"/>
      <c r="E28" s="53"/>
      <c r="F28" s="53"/>
      <c r="G28" s="53"/>
      <c r="H28" s="54"/>
      <c r="I28" s="1419">
        <f>'SPECIAL PACKAGE'!F15</f>
        <v>0</v>
      </c>
      <c r="J28" s="1420"/>
      <c r="K28" s="1420"/>
      <c r="L28" s="1420"/>
      <c r="M28" s="1420"/>
      <c r="N28" s="1420"/>
      <c r="O28" s="1420"/>
      <c r="P28" s="1420"/>
      <c r="Q28" s="1420"/>
      <c r="R28" s="1420"/>
      <c r="S28" s="1420"/>
      <c r="T28" s="1420"/>
      <c r="U28" s="1421"/>
    </row>
    <row r="29" spans="1:21" ht="14" x14ac:dyDescent="0.3">
      <c r="A29" s="60" t="s">
        <v>81</v>
      </c>
      <c r="B29" s="61"/>
      <c r="C29" s="62"/>
      <c r="D29" s="62"/>
      <c r="E29" s="62"/>
      <c r="F29" s="62"/>
      <c r="G29" s="62"/>
      <c r="H29" s="59"/>
      <c r="I29" s="1419">
        <f>'SPECIAL PACKAGE'!F16</f>
        <v>832787.56226250005</v>
      </c>
      <c r="J29" s="1420"/>
      <c r="K29" s="1420"/>
      <c r="L29" s="1420"/>
      <c r="M29" s="1420"/>
      <c r="N29" s="1420"/>
      <c r="O29" s="1420"/>
      <c r="P29" s="1420"/>
      <c r="Q29" s="1420"/>
      <c r="R29" s="1420"/>
      <c r="S29" s="1420"/>
      <c r="T29" s="1420"/>
      <c r="U29" s="1421"/>
    </row>
    <row r="30" spans="1:21" ht="14" x14ac:dyDescent="0.3">
      <c r="A30" s="50" t="s">
        <v>148</v>
      </c>
      <c r="B30" s="51"/>
      <c r="C30" s="53"/>
      <c r="D30" s="53"/>
      <c r="E30" s="53"/>
      <c r="F30" s="53"/>
      <c r="G30" s="53"/>
      <c r="H30" s="54"/>
      <c r="I30" s="1419">
        <f>'SPECIAL PACKAGE'!F19</f>
        <v>83278.756226250014</v>
      </c>
      <c r="J30" s="1420"/>
      <c r="K30" s="1420"/>
      <c r="L30" s="1420"/>
      <c r="M30" s="1420"/>
      <c r="N30" s="1420"/>
      <c r="O30" s="1420"/>
      <c r="P30" s="1420"/>
      <c r="Q30" s="1420"/>
      <c r="R30" s="1420"/>
      <c r="S30" s="1420"/>
      <c r="T30" s="1420"/>
      <c r="U30" s="1421"/>
    </row>
    <row r="31" spans="1:21" ht="14" x14ac:dyDescent="0.3">
      <c r="A31" s="50" t="s">
        <v>149</v>
      </c>
      <c r="B31" s="51"/>
      <c r="C31" s="53"/>
      <c r="D31" s="53"/>
      <c r="E31" s="53"/>
      <c r="F31" s="53"/>
      <c r="G31" s="53"/>
      <c r="H31" s="54"/>
      <c r="I31" s="1419">
        <f>'SPECIAL PACKAGE'!F18</f>
        <v>99934.507471500008</v>
      </c>
      <c r="J31" s="1420"/>
      <c r="K31" s="1420"/>
      <c r="L31" s="1420"/>
      <c r="M31" s="1420"/>
      <c r="N31" s="1420"/>
      <c r="O31" s="1420"/>
      <c r="P31" s="1420"/>
      <c r="Q31" s="1420"/>
      <c r="R31" s="1420"/>
      <c r="S31" s="1420"/>
      <c r="T31" s="1420"/>
      <c r="U31" s="1421"/>
    </row>
    <row r="32" spans="1:21" ht="14" x14ac:dyDescent="0.3">
      <c r="A32" s="50" t="s">
        <v>150</v>
      </c>
      <c r="B32" s="51"/>
      <c r="C32" s="53"/>
      <c r="D32" s="53"/>
      <c r="E32" s="53"/>
      <c r="F32" s="53"/>
      <c r="G32" s="53"/>
      <c r="H32" s="54"/>
      <c r="I32" s="1419">
        <f>'SPECIAL PACKAGE'!F21</f>
        <v>1016000.8259602501</v>
      </c>
      <c r="J32" s="1420"/>
      <c r="K32" s="1420"/>
      <c r="L32" s="1420"/>
      <c r="M32" s="1420"/>
      <c r="N32" s="1420"/>
      <c r="O32" s="1420"/>
      <c r="P32" s="1420"/>
      <c r="Q32" s="1420"/>
      <c r="R32" s="1420"/>
      <c r="S32" s="1420"/>
      <c r="T32" s="1420"/>
      <c r="U32" s="1421"/>
    </row>
    <row r="34" spans="1:21" x14ac:dyDescent="0.25">
      <c r="A34" s="81" t="s">
        <v>151</v>
      </c>
      <c r="B34" s="55"/>
      <c r="C34" s="55"/>
      <c r="D34" s="55"/>
      <c r="E34" s="55"/>
      <c r="F34" s="55"/>
      <c r="G34" s="56"/>
      <c r="H34" s="56"/>
      <c r="I34" s="56"/>
      <c r="J34" s="56"/>
      <c r="K34" s="56"/>
      <c r="L34" s="56"/>
      <c r="M34" s="56"/>
      <c r="N34" s="56"/>
      <c r="O34" s="56"/>
      <c r="P34" s="56"/>
      <c r="Q34" s="56"/>
      <c r="R34" s="56"/>
      <c r="S34" s="56"/>
      <c r="T34" s="56"/>
      <c r="U34" s="57"/>
    </row>
    <row r="35" spans="1:21" ht="4.5" customHeight="1" x14ac:dyDescent="0.3">
      <c r="A35" s="46"/>
      <c r="B35" s="28"/>
      <c r="C35" s="28"/>
      <c r="D35" s="28"/>
      <c r="E35" s="28"/>
      <c r="F35" s="28"/>
      <c r="G35" s="28"/>
      <c r="H35" s="28"/>
      <c r="I35" s="28"/>
      <c r="J35" s="28"/>
      <c r="K35" s="28"/>
      <c r="L35" s="28"/>
      <c r="M35" s="28"/>
      <c r="N35" s="28"/>
      <c r="O35" s="28"/>
      <c r="P35" s="28"/>
      <c r="Q35" s="28"/>
      <c r="R35" s="28"/>
      <c r="S35" s="28"/>
      <c r="T35" s="28"/>
      <c r="U35" s="47"/>
    </row>
    <row r="36" spans="1:21" ht="14" x14ac:dyDescent="0.3">
      <c r="A36" s="46"/>
      <c r="B36" s="28"/>
      <c r="C36" s="28"/>
      <c r="D36" s="28" t="s">
        <v>173</v>
      </c>
      <c r="E36" s="28"/>
      <c r="F36" s="28"/>
      <c r="G36" s="28"/>
      <c r="H36" s="28"/>
      <c r="I36" s="28"/>
      <c r="J36" s="28"/>
      <c r="K36" s="28"/>
      <c r="L36" s="28"/>
      <c r="M36" s="28" t="s">
        <v>152</v>
      </c>
      <c r="O36" s="28"/>
      <c r="P36" s="28"/>
      <c r="Q36" s="28"/>
      <c r="R36" s="28"/>
      <c r="S36" s="28" t="s">
        <v>174</v>
      </c>
      <c r="T36" s="28"/>
      <c r="U36" s="47"/>
    </row>
    <row r="37" spans="1:21" ht="4.5" customHeight="1" x14ac:dyDescent="0.3">
      <c r="A37" s="82"/>
      <c r="B37" s="44"/>
      <c r="C37" s="44"/>
      <c r="D37" s="44"/>
      <c r="E37" s="44"/>
      <c r="F37" s="44"/>
      <c r="G37" s="44"/>
      <c r="H37" s="44"/>
      <c r="I37" s="44"/>
      <c r="J37" s="44"/>
      <c r="K37" s="44"/>
      <c r="L37" s="44"/>
      <c r="M37" s="44"/>
      <c r="N37" s="44"/>
      <c r="O37" s="44"/>
      <c r="P37" s="44"/>
      <c r="Q37" s="44"/>
      <c r="R37" s="44"/>
      <c r="S37" s="44"/>
      <c r="T37" s="44"/>
      <c r="U37" s="83"/>
    </row>
    <row r="38" spans="1:21" ht="11.25" customHeight="1" x14ac:dyDescent="0.25"/>
    <row r="39" spans="1:21" ht="14.5" x14ac:dyDescent="0.35">
      <c r="A39" s="8" t="s">
        <v>153</v>
      </c>
      <c r="T39"/>
    </row>
    <row r="40" spans="1:21" ht="13.5" customHeight="1" x14ac:dyDescent="0.3">
      <c r="A40" s="89" t="s">
        <v>154</v>
      </c>
      <c r="C40" s="1320" t="s">
        <v>165</v>
      </c>
      <c r="D40" s="1320"/>
      <c r="E40" s="1320"/>
      <c r="F40" s="1320"/>
      <c r="G40" s="1320"/>
      <c r="H40" s="1320"/>
      <c r="I40" s="1320"/>
      <c r="J40" s="1320"/>
      <c r="K40" s="1320"/>
      <c r="L40" s="1320"/>
      <c r="M40" s="1320"/>
      <c r="N40" s="1320"/>
      <c r="O40" s="1321"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"&amp;PROPER(IF(LEN(LEFT(TRIM(MID(SUBSTITUTE([2]Sheet1!A2,".",REPT(" ",255)),255,200)),2))=1,CHOOSE(1*LEFT(TRIM(MID(SUBSTITUTE([2]Sheet1!A2,".",REPT(" ",255)),255,200)),2),"ten","twenty","thirty","forty","fifty","sixty","seventy","eighty","ninety")&amp;" cents","")&amp;CONCATENATE(CHOOSE(MID(TEXT(INT(LEFT(TRIM(MID(SUBSTITUTE([2]Sheet1!A2,".",REPT(" ",255)),255,200)),2)),REPT(0,12)),11,1)+1,"",CHOOSE(MID(TEXT(INT(LEFT(TRIM(MID(SUBSTITUTE([2]Sheet1!A2,".",REPT(" ",255)),255,200)),2)),REPT(0,12)),12,1)+1,"ten","eleven","twelve","thirteen","fourteen","fifteen","sixteen","seventeen","eighteen","nineteen")&amp;" cents","twenty","thirty","forty","fifty","sixty","seventy","eighty","ninety"),IF(VALUE(MID(TEXT(INT(LEFT(TRIM(MID(SUBSTITUTE([2]Sheet1!A2,".",REPT(" ",255)),255,200)),2)),REPT(0,12)),11,1))&gt;1,CHOOSE(MID(TEXT(INT(LEFT(TRIM(MID(SUBSTITUTE([2]Sheet1!A2,".",REPT(" ",255)),255,200)),2)),REPT(0,12)),12,1)+1,"","-one","-two","-three","-four","-five","-six","-seven","-eight","-nine")&amp;" cents",IF(LEFT(TRIM(MID(SUBSTITUTE([2]Sheet1!A2,".",REPT(" ",255)),255,200)),2)="01","one cent",IF(LEFT(TRIM(MID(SUBSTITUTE([2]Sheet1!A2,".",REPT(" ",255)),255,200)),1)="0",CHOOSE(MID(TEXT(INT(LEFT(TRIM(MID(SUBSTITUTE([2]Sheet1!A2,".",REPT(" ",255)),255,200)),2)),REPT(0,12)),12,1)+1,"","one","two","three","four","five","six","seven","eight","nine")&amp;" cents","")))))))</f>
        <v>Ten Thousand  Pesos</v>
      </c>
      <c r="P40" s="1321"/>
      <c r="Q40" s="1321"/>
      <c r="R40" s="1321"/>
      <c r="S40" s="97" t="s">
        <v>195</v>
      </c>
      <c r="T40" s="549">
        <f>FORM!I22</f>
        <v>10000</v>
      </c>
      <c r="U40" s="100" t="s">
        <v>166</v>
      </c>
    </row>
    <row r="41" spans="1:21" ht="13.5" customHeight="1" x14ac:dyDescent="0.25">
      <c r="A41" s="84"/>
      <c r="B41" s="85"/>
      <c r="C41" s="85"/>
      <c r="D41" s="85"/>
      <c r="E41" s="85"/>
      <c r="F41" s="85"/>
      <c r="G41" s="85"/>
      <c r="H41" s="85"/>
      <c r="I41" s="85"/>
      <c r="J41" s="85"/>
      <c r="K41" s="85"/>
      <c r="L41" s="85"/>
      <c r="M41" s="85"/>
      <c r="N41" s="85"/>
      <c r="O41" s="95"/>
      <c r="P41" s="95"/>
      <c r="Q41" s="95"/>
      <c r="R41" s="95"/>
      <c r="S41" s="68"/>
      <c r="T41" s="96"/>
      <c r="U41" s="68"/>
    </row>
    <row r="42" spans="1:21" ht="13.5" customHeight="1" x14ac:dyDescent="0.25">
      <c r="A42" s="84"/>
      <c r="B42" s="85"/>
      <c r="C42" s="85"/>
      <c r="D42" s="85"/>
      <c r="E42" s="85"/>
      <c r="F42" s="85"/>
      <c r="G42" s="85"/>
      <c r="H42" s="85"/>
      <c r="I42" s="85"/>
      <c r="J42" s="85"/>
      <c r="K42" s="85"/>
      <c r="L42" s="85"/>
      <c r="M42" s="85"/>
      <c r="N42" s="85"/>
      <c r="O42" s="95"/>
      <c r="P42" s="95"/>
      <c r="Q42" s="95"/>
      <c r="R42" s="95"/>
      <c r="S42" s="68"/>
      <c r="T42" s="96"/>
      <c r="U42" s="68"/>
    </row>
    <row r="43" spans="1:21" ht="13.5" customHeight="1" x14ac:dyDescent="0.25">
      <c r="A43" s="84"/>
      <c r="B43" s="85"/>
      <c r="C43" s="85"/>
      <c r="D43" s="85"/>
      <c r="E43" s="85"/>
      <c r="F43" s="85"/>
      <c r="G43" s="85"/>
      <c r="H43" s="85"/>
      <c r="I43" s="85"/>
      <c r="J43" s="85"/>
      <c r="K43" s="85"/>
      <c r="L43" s="85"/>
      <c r="M43" s="85"/>
      <c r="N43" s="85"/>
      <c r="O43" s="95"/>
      <c r="P43" s="95"/>
      <c r="Q43" s="95"/>
      <c r="R43" s="95"/>
      <c r="S43" s="68"/>
      <c r="T43" s="96"/>
      <c r="U43" s="68"/>
    </row>
    <row r="44" spans="1:21" ht="13.5" customHeight="1" x14ac:dyDescent="0.25">
      <c r="A44" s="84"/>
      <c r="B44" s="85"/>
      <c r="C44" s="85"/>
      <c r="D44" s="85"/>
      <c r="E44" s="85" t="s">
        <v>1</v>
      </c>
      <c r="F44" s="85"/>
      <c r="G44" s="85"/>
      <c r="H44" s="85"/>
      <c r="I44" s="85"/>
      <c r="J44" s="85"/>
      <c r="K44" s="85"/>
      <c r="L44" s="85"/>
      <c r="M44" s="85"/>
      <c r="N44" s="85"/>
      <c r="O44" s="95"/>
      <c r="P44" s="95"/>
      <c r="Q44" s="95"/>
      <c r="R44" s="95"/>
      <c r="S44" s="68"/>
      <c r="T44" s="96"/>
      <c r="U44" s="68"/>
    </row>
    <row r="45" spans="1:21" ht="13.5" customHeight="1" x14ac:dyDescent="0.25">
      <c r="A45" s="84"/>
      <c r="B45" s="85"/>
      <c r="C45" s="85"/>
      <c r="D45" s="85"/>
      <c r="E45" s="85"/>
      <c r="F45" s="85"/>
      <c r="G45" s="85"/>
      <c r="H45" s="85"/>
      <c r="I45" s="85"/>
      <c r="J45" s="85"/>
      <c r="K45" s="85"/>
      <c r="L45" s="85"/>
      <c r="M45" s="85"/>
      <c r="N45" s="85"/>
      <c r="O45" s="95"/>
      <c r="P45" s="95"/>
      <c r="Q45" s="95"/>
      <c r="R45" s="95"/>
      <c r="S45" s="68"/>
      <c r="T45" s="96"/>
      <c r="U45" s="68"/>
    </row>
    <row r="46" spans="1:21" ht="13.5" customHeight="1" x14ac:dyDescent="0.25">
      <c r="A46" s="84"/>
      <c r="B46" s="85"/>
      <c r="C46" s="85"/>
      <c r="D46" s="85"/>
      <c r="E46" s="85"/>
      <c r="F46" s="85"/>
      <c r="G46" s="85"/>
      <c r="H46" s="85"/>
      <c r="I46" s="85"/>
      <c r="J46" s="85"/>
      <c r="K46" s="85"/>
      <c r="L46" s="85"/>
      <c r="M46" s="85"/>
      <c r="N46" s="85"/>
      <c r="O46" s="95"/>
      <c r="P46" s="95"/>
      <c r="Q46" s="95"/>
      <c r="R46" s="95"/>
      <c r="S46" s="68"/>
      <c r="T46" s="96"/>
      <c r="U46" s="68"/>
    </row>
    <row r="47" spans="1:21" ht="13.5" customHeight="1" x14ac:dyDescent="0.25">
      <c r="A47" s="84"/>
      <c r="B47" s="85"/>
      <c r="C47" s="85"/>
      <c r="D47" s="85"/>
      <c r="E47" s="85"/>
      <c r="F47" s="85"/>
      <c r="G47" s="85"/>
      <c r="H47" s="85"/>
      <c r="I47" s="85"/>
      <c r="J47" s="85"/>
      <c r="K47" s="85"/>
      <c r="L47" s="85"/>
      <c r="M47" s="85"/>
      <c r="N47" s="85"/>
      <c r="O47" s="95"/>
      <c r="P47" s="95"/>
      <c r="Q47" s="95"/>
      <c r="R47" s="95"/>
      <c r="S47" s="68"/>
      <c r="T47" s="96"/>
      <c r="U47" s="68"/>
    </row>
    <row r="48" spans="1:21" ht="13.5" customHeight="1" x14ac:dyDescent="0.25">
      <c r="A48" s="84"/>
      <c r="B48" s="85"/>
      <c r="C48" s="85"/>
      <c r="D48" s="85"/>
      <c r="E48" s="85"/>
      <c r="F48" s="85"/>
      <c r="G48" s="85"/>
      <c r="H48" s="85"/>
      <c r="I48" s="85"/>
      <c r="J48" s="85"/>
      <c r="K48" s="85"/>
      <c r="L48" s="85"/>
      <c r="M48" s="85"/>
      <c r="N48" s="85"/>
      <c r="O48" s="95"/>
      <c r="P48" s="95"/>
      <c r="Q48" s="95"/>
      <c r="R48" s="95"/>
      <c r="S48" s="68"/>
      <c r="T48" s="96"/>
      <c r="U48" s="68"/>
    </row>
    <row r="49" spans="1:21" ht="13.5" customHeight="1" x14ac:dyDescent="0.25">
      <c r="A49" s="84"/>
      <c r="B49" s="85"/>
      <c r="C49" s="85"/>
      <c r="D49" s="85"/>
      <c r="E49" s="85"/>
      <c r="F49" s="85"/>
      <c r="G49" s="85"/>
      <c r="H49" s="85"/>
      <c r="I49" s="85"/>
      <c r="J49" s="85"/>
      <c r="K49" s="85"/>
      <c r="L49" s="85"/>
      <c r="M49" s="85"/>
      <c r="N49" s="85"/>
      <c r="O49" s="95"/>
      <c r="P49" s="95"/>
      <c r="Q49" s="95"/>
      <c r="R49" s="95"/>
      <c r="S49" s="68"/>
      <c r="T49" s="96"/>
      <c r="U49" s="68"/>
    </row>
    <row r="50" spans="1:21" ht="13.5" customHeight="1" x14ac:dyDescent="0.25">
      <c r="A50" s="84"/>
      <c r="B50" s="85"/>
      <c r="C50" s="85"/>
      <c r="D50" s="85"/>
      <c r="E50" s="85"/>
      <c r="F50" s="85"/>
      <c r="G50" s="85"/>
      <c r="H50" s="85"/>
      <c r="I50" s="85"/>
      <c r="J50" s="85"/>
      <c r="K50" s="85"/>
      <c r="L50" s="85"/>
      <c r="M50" s="85"/>
      <c r="N50" s="85"/>
      <c r="O50" s="95"/>
      <c r="P50" s="95"/>
      <c r="Q50" s="95"/>
      <c r="R50" s="95"/>
      <c r="S50" s="68"/>
      <c r="T50" s="96"/>
      <c r="U50" s="68"/>
    </row>
    <row r="51" spans="1:21" ht="13.5" customHeight="1" x14ac:dyDescent="0.25">
      <c r="A51" s="84"/>
      <c r="B51" s="85"/>
      <c r="C51" s="85"/>
      <c r="D51" s="85"/>
      <c r="E51" s="85"/>
      <c r="F51" s="85"/>
      <c r="G51" s="85"/>
      <c r="H51" s="85"/>
      <c r="I51" s="85"/>
      <c r="J51" s="85"/>
      <c r="K51" s="85"/>
      <c r="L51" s="85"/>
      <c r="M51" s="85"/>
      <c r="N51" s="85"/>
      <c r="O51" s="95"/>
      <c r="P51" s="95"/>
      <c r="Q51" s="95"/>
      <c r="R51" s="95"/>
      <c r="S51" s="68"/>
      <c r="T51" s="96"/>
      <c r="U51" s="68"/>
    </row>
    <row r="52" spans="1:21" ht="13.5" customHeight="1" x14ac:dyDescent="0.25">
      <c r="A52" s="84"/>
      <c r="B52" s="85"/>
      <c r="C52" s="85"/>
      <c r="D52" s="85"/>
      <c r="E52" s="85"/>
      <c r="F52" s="85"/>
      <c r="G52" s="85"/>
      <c r="H52" s="85"/>
      <c r="I52" s="85"/>
      <c r="J52" s="85"/>
      <c r="K52" s="85"/>
      <c r="L52" s="85"/>
      <c r="M52" s="85"/>
      <c r="N52" s="85"/>
      <c r="O52" s="95"/>
      <c r="P52" s="95"/>
      <c r="Q52" s="95"/>
      <c r="R52" s="95"/>
      <c r="S52" s="68"/>
      <c r="T52" s="96"/>
      <c r="U52" s="68"/>
    </row>
    <row r="53" spans="1:21" ht="13.5" customHeight="1" x14ac:dyDescent="0.25">
      <c r="A53" s="84"/>
      <c r="B53" s="85"/>
      <c r="C53" s="85"/>
      <c r="D53" s="85"/>
      <c r="E53" s="85"/>
      <c r="F53" s="85"/>
      <c r="G53" s="85"/>
      <c r="H53" s="85"/>
      <c r="I53" s="85"/>
      <c r="J53" s="85"/>
      <c r="K53" s="85"/>
      <c r="L53" s="85"/>
      <c r="M53" s="85"/>
      <c r="N53" s="85"/>
      <c r="O53" s="95"/>
      <c r="P53" s="95"/>
      <c r="Q53" s="95"/>
      <c r="R53" s="95"/>
      <c r="S53" s="68"/>
      <c r="T53" s="96"/>
      <c r="U53" s="68"/>
    </row>
    <row r="54" spans="1:21" ht="13.5" customHeight="1" x14ac:dyDescent="0.25">
      <c r="A54" s="84"/>
      <c r="B54" s="85"/>
      <c r="C54" s="85"/>
      <c r="D54" s="85"/>
      <c r="E54" s="85"/>
      <c r="F54" s="85"/>
      <c r="G54" s="85"/>
      <c r="H54" s="85"/>
      <c r="I54" s="85"/>
      <c r="J54" s="85"/>
      <c r="K54" s="85"/>
      <c r="L54" s="85"/>
      <c r="M54" s="85"/>
      <c r="N54" s="85"/>
      <c r="O54" s="95"/>
      <c r="P54" s="95"/>
      <c r="Q54" s="95"/>
      <c r="R54" s="95"/>
      <c r="S54" s="68"/>
      <c r="T54" s="96"/>
      <c r="U54" s="68"/>
    </row>
    <row r="55" spans="1:21" ht="13.5" customHeight="1" x14ac:dyDescent="0.25">
      <c r="A55" s="84"/>
      <c r="B55" s="85"/>
      <c r="C55" s="85"/>
      <c r="D55" s="85"/>
      <c r="E55" s="85"/>
      <c r="F55" s="85"/>
      <c r="G55" s="85"/>
      <c r="H55" s="85"/>
      <c r="I55" s="85"/>
      <c r="J55" s="85"/>
      <c r="K55" s="85"/>
      <c r="L55" s="85"/>
      <c r="M55" s="85"/>
      <c r="N55" s="85"/>
      <c r="O55" s="95"/>
      <c r="P55" s="95"/>
      <c r="Q55" s="95"/>
      <c r="R55" s="95"/>
      <c r="S55" s="68"/>
      <c r="T55" s="96"/>
      <c r="U55" s="68"/>
    </row>
    <row r="56" spans="1:21" ht="13.5" customHeight="1" x14ac:dyDescent="0.25">
      <c r="A56" s="84"/>
      <c r="B56" s="85"/>
      <c r="C56" s="85"/>
      <c r="D56" s="85"/>
      <c r="E56" s="85"/>
      <c r="F56" s="85"/>
      <c r="G56" s="85"/>
      <c r="H56" s="85"/>
      <c r="I56" s="85"/>
      <c r="J56" s="85"/>
      <c r="K56" s="85"/>
      <c r="L56" s="85"/>
      <c r="M56" s="85"/>
      <c r="N56" s="85"/>
      <c r="O56" s="95"/>
      <c r="P56" s="95"/>
      <c r="Q56" s="95"/>
      <c r="R56" s="95"/>
      <c r="S56" s="68"/>
      <c r="T56" s="96"/>
      <c r="U56" s="68"/>
    </row>
    <row r="57" spans="1:21" ht="13.5" customHeight="1" x14ac:dyDescent="0.25">
      <c r="A57" s="84"/>
      <c r="B57" s="85"/>
      <c r="C57" s="85"/>
      <c r="D57" s="85"/>
      <c r="E57" s="85"/>
      <c r="F57" s="85"/>
      <c r="G57" s="85"/>
      <c r="H57" s="85"/>
      <c r="I57" s="85"/>
      <c r="J57" s="85"/>
      <c r="K57" s="85"/>
      <c r="L57" s="85"/>
      <c r="M57" s="85"/>
      <c r="N57" s="85"/>
      <c r="O57" s="95"/>
      <c r="P57" s="95"/>
      <c r="Q57" s="95"/>
      <c r="R57" s="95"/>
      <c r="S57" s="68"/>
      <c r="T57" s="96"/>
      <c r="U57" s="68"/>
    </row>
    <row r="58" spans="1:21" ht="13.5" customHeight="1" x14ac:dyDescent="0.25">
      <c r="A58" s="84"/>
      <c r="B58" s="85"/>
      <c r="C58" s="85"/>
      <c r="D58" s="85"/>
      <c r="E58" s="85"/>
      <c r="F58" s="85"/>
      <c r="G58" s="85"/>
      <c r="H58" s="85"/>
      <c r="I58" s="85"/>
      <c r="J58" s="85"/>
      <c r="K58" s="85"/>
      <c r="L58" s="85"/>
      <c r="M58" s="85"/>
      <c r="N58" s="85"/>
      <c r="O58" s="95"/>
      <c r="P58" s="95"/>
      <c r="Q58" s="95"/>
      <c r="R58" s="95"/>
      <c r="S58" s="68"/>
      <c r="T58" s="96"/>
      <c r="U58" s="68"/>
    </row>
    <row r="59" spans="1:21" ht="13.5" customHeight="1" x14ac:dyDescent="0.25">
      <c r="A59" s="84"/>
      <c r="B59" s="85"/>
      <c r="C59" s="85"/>
      <c r="D59" s="85"/>
      <c r="E59" s="85"/>
      <c r="F59" s="85"/>
      <c r="G59" s="85"/>
      <c r="H59" s="85"/>
      <c r="I59" s="85"/>
      <c r="J59" s="85"/>
      <c r="K59" s="85"/>
      <c r="L59" s="85"/>
      <c r="M59" s="85"/>
      <c r="N59" s="85"/>
      <c r="O59" s="95"/>
      <c r="P59" s="95"/>
      <c r="Q59" s="95"/>
      <c r="R59" s="95"/>
      <c r="S59" s="68"/>
      <c r="T59" s="96"/>
      <c r="U59" s="68"/>
    </row>
    <row r="60" spans="1:21" ht="13.5" customHeight="1" x14ac:dyDescent="0.25">
      <c r="A60" s="84"/>
      <c r="B60" s="85"/>
      <c r="C60" s="85"/>
      <c r="D60" s="85"/>
      <c r="E60" s="85"/>
      <c r="F60" s="85"/>
      <c r="G60" s="85"/>
      <c r="H60" s="85"/>
      <c r="I60" s="85"/>
      <c r="J60" s="85"/>
      <c r="K60" s="85"/>
      <c r="L60" s="85"/>
      <c r="M60" s="85"/>
      <c r="N60" s="85"/>
      <c r="O60" s="95"/>
      <c r="P60" s="95"/>
      <c r="Q60" s="95"/>
      <c r="R60" s="95"/>
      <c r="S60" s="68"/>
      <c r="T60" s="96"/>
      <c r="U60" s="68"/>
    </row>
    <row r="61" spans="1:21" ht="13.5" customHeight="1" x14ac:dyDescent="0.25">
      <c r="A61" s="84"/>
      <c r="B61" s="85"/>
      <c r="C61" s="85"/>
      <c r="D61" s="85"/>
      <c r="E61" s="85"/>
      <c r="F61" s="85"/>
      <c r="G61" s="85"/>
      <c r="H61" s="85"/>
      <c r="I61" s="85"/>
      <c r="J61" s="85"/>
      <c r="K61" s="85"/>
      <c r="L61" s="85"/>
      <c r="M61" s="85"/>
      <c r="N61" s="85"/>
      <c r="O61" s="95"/>
      <c r="P61" s="95"/>
      <c r="Q61" s="95"/>
      <c r="R61" s="95"/>
      <c r="S61" s="68"/>
      <c r="T61" s="96"/>
      <c r="U61" s="68"/>
    </row>
    <row r="62" spans="1:21" ht="13.5" customHeight="1" x14ac:dyDescent="0.25">
      <c r="A62" s="84"/>
      <c r="B62" s="85"/>
      <c r="C62" s="85"/>
      <c r="D62" s="85"/>
      <c r="E62" s="85"/>
      <c r="F62" s="85"/>
      <c r="G62" s="85"/>
      <c r="H62" s="85"/>
      <c r="I62" s="85"/>
      <c r="J62" s="85"/>
      <c r="K62" s="85"/>
      <c r="L62" s="85"/>
      <c r="M62" s="85"/>
      <c r="N62" s="85"/>
      <c r="O62" s="95"/>
      <c r="P62" s="95"/>
      <c r="Q62" s="95"/>
      <c r="R62" s="95"/>
      <c r="S62" s="68"/>
      <c r="T62" s="96"/>
      <c r="U62" s="68"/>
    </row>
    <row r="63" spans="1:21" ht="13.5" customHeight="1" x14ac:dyDescent="0.25">
      <c r="A63" s="84"/>
      <c r="B63" s="85"/>
      <c r="C63" s="85"/>
      <c r="D63" s="85"/>
      <c r="E63" s="85"/>
      <c r="F63" s="85"/>
      <c r="G63" s="85"/>
      <c r="H63" s="85"/>
      <c r="I63" s="85"/>
      <c r="J63" s="85"/>
      <c r="K63" s="85"/>
      <c r="L63" s="85"/>
      <c r="M63" s="85"/>
      <c r="N63" s="85"/>
      <c r="O63" s="95"/>
      <c r="P63" s="95"/>
      <c r="Q63" s="95"/>
      <c r="R63" s="95"/>
      <c r="S63" s="68"/>
      <c r="T63" s="96"/>
      <c r="U63" s="68"/>
    </row>
    <row r="64" spans="1:21" ht="13.5" customHeight="1" x14ac:dyDescent="0.25">
      <c r="A64" s="84"/>
      <c r="B64" s="85"/>
      <c r="C64" s="85"/>
      <c r="D64" s="85"/>
      <c r="E64" s="85"/>
      <c r="F64" s="85"/>
      <c r="G64" s="85"/>
      <c r="H64" s="85"/>
      <c r="I64" s="85"/>
      <c r="J64" s="85"/>
      <c r="K64" s="85"/>
      <c r="L64" s="85"/>
      <c r="M64" s="85"/>
      <c r="N64" s="85"/>
      <c r="O64" s="95"/>
      <c r="P64" s="95"/>
      <c r="Q64" s="95"/>
      <c r="R64" s="95"/>
      <c r="S64" s="68"/>
      <c r="T64" s="96"/>
      <c r="U64" s="68"/>
    </row>
    <row r="65" spans="1:21" ht="13.5" customHeight="1" x14ac:dyDescent="0.25">
      <c r="A65" s="84"/>
      <c r="B65" s="85"/>
      <c r="C65" s="85"/>
      <c r="D65" s="85"/>
      <c r="E65" s="85"/>
      <c r="F65" s="85"/>
      <c r="G65" s="85"/>
      <c r="H65" s="85"/>
      <c r="I65" s="85"/>
      <c r="J65" s="85"/>
      <c r="K65" s="85"/>
      <c r="L65" s="85"/>
      <c r="M65" s="85"/>
      <c r="N65" s="85"/>
      <c r="O65" s="95"/>
      <c r="P65" s="95"/>
      <c r="Q65" s="95"/>
      <c r="R65" s="95"/>
      <c r="S65" s="68"/>
      <c r="T65" s="96"/>
      <c r="U65" s="68"/>
    </row>
    <row r="66" spans="1:21" ht="13.5" customHeight="1" x14ac:dyDescent="0.25">
      <c r="A66" s="84"/>
      <c r="B66" s="85"/>
      <c r="C66" s="85"/>
      <c r="D66" s="85"/>
      <c r="E66" s="85"/>
      <c r="F66" s="85"/>
      <c r="G66" s="85"/>
      <c r="H66" s="85"/>
      <c r="I66" s="85"/>
      <c r="J66" s="85"/>
      <c r="K66" s="85"/>
      <c r="L66" s="85"/>
      <c r="M66" s="85"/>
      <c r="N66" s="85"/>
      <c r="O66" s="95"/>
      <c r="P66" s="95"/>
      <c r="Q66" s="95"/>
      <c r="R66" s="95"/>
      <c r="S66" s="68"/>
      <c r="T66" s="96"/>
      <c r="U66" s="68"/>
    </row>
    <row r="67" spans="1:21" ht="13.5" customHeight="1" x14ac:dyDescent="0.25">
      <c r="A67" s="84"/>
      <c r="B67" s="85"/>
      <c r="C67" s="85"/>
      <c r="D67" s="85"/>
      <c r="E67" s="85"/>
      <c r="F67" s="85"/>
      <c r="G67" s="85"/>
      <c r="H67" s="85"/>
      <c r="I67" s="85"/>
      <c r="J67" s="85"/>
      <c r="K67" s="85"/>
      <c r="L67" s="85"/>
      <c r="M67" s="85"/>
      <c r="N67" s="85"/>
      <c r="O67" s="95"/>
      <c r="P67" s="95"/>
      <c r="Q67" s="95"/>
      <c r="R67" s="95"/>
      <c r="S67" s="68"/>
      <c r="T67" s="96"/>
      <c r="U67" s="68"/>
    </row>
    <row r="68" spans="1:21" ht="13.5" customHeight="1" x14ac:dyDescent="0.25">
      <c r="A68" s="84"/>
      <c r="B68" s="85"/>
      <c r="C68" s="85"/>
      <c r="D68" s="85"/>
      <c r="E68" s="85"/>
      <c r="F68" s="85"/>
      <c r="G68" s="85"/>
      <c r="H68" s="85"/>
      <c r="I68" s="85"/>
      <c r="J68" s="85"/>
      <c r="K68" s="85"/>
      <c r="L68" s="85"/>
      <c r="M68" s="85"/>
      <c r="N68" s="85"/>
      <c r="O68" s="95"/>
      <c r="P68" s="95"/>
      <c r="Q68" s="95"/>
      <c r="R68" s="95"/>
      <c r="S68" s="68"/>
      <c r="T68" s="96"/>
      <c r="U68" s="68"/>
    </row>
    <row r="69" spans="1:21" ht="13.5" customHeight="1" x14ac:dyDescent="0.25">
      <c r="A69" s="84"/>
      <c r="B69" s="85"/>
      <c r="C69" s="85"/>
      <c r="D69" s="85"/>
      <c r="E69" s="85"/>
      <c r="F69" s="85"/>
      <c r="G69" s="85"/>
      <c r="H69" s="85"/>
      <c r="I69" s="85"/>
      <c r="J69" s="85"/>
      <c r="K69" s="85"/>
      <c r="L69" s="85"/>
      <c r="M69" s="85"/>
      <c r="N69" s="85"/>
      <c r="O69" s="95"/>
      <c r="P69" s="95"/>
      <c r="Q69" s="95"/>
      <c r="R69" s="95"/>
      <c r="S69" s="68"/>
      <c r="T69" s="96"/>
      <c r="U69" s="68"/>
    </row>
    <row r="70" spans="1:21" ht="13.5" customHeight="1" x14ac:dyDescent="0.25">
      <c r="A70" s="84"/>
      <c r="B70" s="85"/>
      <c r="C70" s="85"/>
      <c r="D70" s="85"/>
      <c r="E70" s="85"/>
      <c r="F70" s="85"/>
      <c r="G70" s="85"/>
      <c r="H70" s="85"/>
      <c r="I70" s="85"/>
      <c r="J70" s="85"/>
      <c r="K70" s="85"/>
      <c r="L70" s="85"/>
      <c r="M70" s="85"/>
      <c r="N70" s="85"/>
      <c r="O70" s="95"/>
      <c r="P70" s="95"/>
      <c r="Q70" s="95"/>
      <c r="R70" s="95"/>
      <c r="S70" s="68"/>
      <c r="T70" s="96"/>
      <c r="U70" s="68"/>
    </row>
    <row r="71" spans="1:21" ht="13.5" customHeight="1" x14ac:dyDescent="0.25">
      <c r="A71" s="84"/>
      <c r="B71" s="85"/>
      <c r="C71" s="85"/>
      <c r="D71" s="85"/>
      <c r="E71" s="85"/>
      <c r="F71" s="85"/>
      <c r="G71" s="85"/>
      <c r="H71" s="85"/>
      <c r="I71" s="85"/>
      <c r="J71" s="85"/>
      <c r="K71" s="85"/>
      <c r="L71" s="85"/>
      <c r="M71" s="85"/>
      <c r="N71" s="85"/>
      <c r="O71" s="95"/>
      <c r="P71" s="95"/>
      <c r="Q71" s="95"/>
      <c r="R71" s="95"/>
      <c r="S71" s="68"/>
      <c r="T71" s="96"/>
      <c r="U71" s="68"/>
    </row>
    <row r="72" spans="1:21" ht="13.5" customHeight="1" x14ac:dyDescent="0.25">
      <c r="A72" s="84"/>
      <c r="B72" s="85"/>
      <c r="C72" s="85"/>
      <c r="D72" s="85"/>
      <c r="E72" s="85"/>
      <c r="F72" s="85"/>
      <c r="G72" s="85"/>
      <c r="H72" s="85"/>
      <c r="I72" s="85"/>
      <c r="J72" s="85"/>
      <c r="K72" s="85"/>
      <c r="L72" s="85"/>
      <c r="M72" s="85"/>
      <c r="N72" s="85"/>
      <c r="O72" s="95"/>
      <c r="P72" s="95"/>
      <c r="Q72" s="95"/>
      <c r="R72" s="95"/>
      <c r="S72" s="68"/>
      <c r="T72" s="96"/>
      <c r="U72" s="68"/>
    </row>
    <row r="73" spans="1:21" ht="13.5" customHeight="1" x14ac:dyDescent="0.25">
      <c r="A73" s="84"/>
      <c r="B73" s="85"/>
      <c r="C73" s="85"/>
      <c r="D73" s="85"/>
      <c r="E73" s="85"/>
      <c r="F73" s="85"/>
      <c r="G73" s="85"/>
      <c r="H73" s="85"/>
      <c r="I73" s="85"/>
      <c r="J73" s="85"/>
      <c r="K73" s="85"/>
      <c r="L73" s="85"/>
      <c r="M73" s="85"/>
      <c r="N73" s="85"/>
      <c r="O73" s="95"/>
      <c r="P73" s="95"/>
      <c r="Q73" s="95"/>
      <c r="R73" s="95"/>
      <c r="S73" s="68"/>
      <c r="T73" s="96"/>
      <c r="U73" s="68"/>
    </row>
    <row r="74" spans="1:21" ht="13.5" customHeight="1" x14ac:dyDescent="0.25">
      <c r="A74" s="84"/>
      <c r="B74" s="85"/>
      <c r="C74" s="85"/>
      <c r="D74" s="85"/>
      <c r="E74" s="85"/>
      <c r="F74" s="85"/>
      <c r="G74" s="85"/>
      <c r="H74" s="85"/>
      <c r="I74" s="85"/>
      <c r="J74" s="85"/>
      <c r="K74" s="85"/>
      <c r="L74" s="85"/>
      <c r="M74" s="85"/>
      <c r="N74" s="85"/>
      <c r="O74" s="95"/>
      <c r="P74" s="95"/>
      <c r="Q74" s="95"/>
      <c r="R74" s="95"/>
      <c r="S74" s="68"/>
      <c r="T74" s="96"/>
      <c r="U74" s="68"/>
    </row>
    <row r="75" spans="1:21" ht="13.5" customHeight="1" x14ac:dyDescent="0.25">
      <c r="A75" s="84"/>
      <c r="B75" s="85"/>
      <c r="C75" s="85"/>
      <c r="D75" s="85"/>
      <c r="E75" s="85"/>
      <c r="F75" s="85"/>
      <c r="G75" s="85"/>
      <c r="H75" s="85"/>
      <c r="I75" s="85"/>
      <c r="J75" s="85"/>
      <c r="K75" s="85"/>
      <c r="L75" s="85"/>
      <c r="M75" s="85"/>
      <c r="N75" s="85"/>
      <c r="O75" s="95"/>
      <c r="P75" s="95"/>
      <c r="Q75" s="95"/>
      <c r="R75" s="95"/>
      <c r="S75" s="68"/>
      <c r="T75" s="96"/>
      <c r="U75" s="68"/>
    </row>
    <row r="76" spans="1:21" ht="13.5" customHeight="1" x14ac:dyDescent="0.25">
      <c r="A76" s="84"/>
      <c r="B76" s="85"/>
      <c r="C76" s="85"/>
      <c r="D76" s="85"/>
      <c r="E76" s="85"/>
      <c r="F76" s="85"/>
      <c r="G76" s="85"/>
      <c r="H76" s="85"/>
      <c r="I76" s="85"/>
      <c r="J76" s="85"/>
      <c r="K76" s="85"/>
      <c r="L76" s="85"/>
      <c r="M76" s="85"/>
      <c r="N76" s="85"/>
      <c r="O76" s="95"/>
      <c r="P76" s="95"/>
      <c r="Q76" s="95"/>
      <c r="R76" s="95"/>
      <c r="S76" s="68"/>
      <c r="T76" s="96"/>
      <c r="U76" s="68"/>
    </row>
    <row r="77" spans="1:21" ht="13.5" customHeight="1" x14ac:dyDescent="0.25">
      <c r="A77" s="84"/>
      <c r="B77" s="85"/>
      <c r="C77" s="85"/>
      <c r="D77" s="85"/>
      <c r="E77" s="85"/>
      <c r="F77" s="85"/>
      <c r="G77" s="85"/>
      <c r="H77" s="85"/>
      <c r="I77" s="85"/>
      <c r="J77" s="85"/>
      <c r="K77" s="85"/>
      <c r="L77" s="85"/>
      <c r="M77" s="85"/>
      <c r="N77" s="85"/>
      <c r="O77" s="95"/>
      <c r="P77" s="95"/>
      <c r="Q77" s="95"/>
      <c r="R77" s="95"/>
      <c r="S77" s="68"/>
      <c r="T77" s="96"/>
      <c r="U77" s="68"/>
    </row>
    <row r="78" spans="1:21" ht="13.5" customHeight="1" x14ac:dyDescent="0.25">
      <c r="A78" s="84"/>
      <c r="B78" s="85"/>
      <c r="C78" s="85"/>
      <c r="D78" s="85"/>
      <c r="E78" s="85"/>
      <c r="F78" s="85"/>
      <c r="G78" s="85"/>
      <c r="H78" s="85"/>
      <c r="I78" s="85"/>
      <c r="J78" s="85"/>
      <c r="K78" s="85"/>
      <c r="L78" s="85"/>
      <c r="M78" s="85"/>
      <c r="N78" s="85"/>
      <c r="O78" s="95"/>
      <c r="P78" s="95"/>
      <c r="Q78" s="95"/>
      <c r="R78" s="95"/>
      <c r="S78" s="68"/>
      <c r="T78" s="96"/>
      <c r="U78" s="68"/>
    </row>
    <row r="79" spans="1:21" ht="13.5" customHeight="1" x14ac:dyDescent="0.25">
      <c r="A79" s="84"/>
      <c r="B79" s="85"/>
      <c r="C79" s="85"/>
      <c r="D79" s="85"/>
      <c r="E79" s="85"/>
      <c r="F79" s="85"/>
      <c r="G79" s="85"/>
      <c r="H79" s="85"/>
      <c r="I79" s="85"/>
      <c r="J79" s="85"/>
      <c r="K79" s="85"/>
      <c r="L79" s="85"/>
      <c r="M79" s="85"/>
      <c r="N79" s="85"/>
      <c r="O79" s="95"/>
      <c r="P79" s="95"/>
      <c r="Q79" s="95"/>
      <c r="R79" s="95"/>
      <c r="S79" s="68"/>
      <c r="T79" s="96"/>
      <c r="U79" s="68"/>
    </row>
    <row r="80" spans="1:21" ht="13.5" customHeight="1" x14ac:dyDescent="0.25">
      <c r="A80" s="84"/>
      <c r="B80" s="85"/>
      <c r="C80" s="85"/>
      <c r="D80" s="85"/>
      <c r="E80" s="85"/>
      <c r="F80" s="85"/>
      <c r="G80" s="85"/>
      <c r="H80" s="85"/>
      <c r="I80" s="85"/>
      <c r="J80" s="85"/>
      <c r="K80" s="85"/>
      <c r="L80" s="85"/>
      <c r="M80" s="85"/>
      <c r="N80" s="85"/>
      <c r="O80" s="95"/>
      <c r="P80" s="95"/>
      <c r="Q80" s="95"/>
      <c r="R80" s="95"/>
      <c r="S80" s="68"/>
      <c r="T80" s="96"/>
      <c r="U80" s="68"/>
    </row>
    <row r="81" spans="1:21" ht="13.5" customHeight="1" x14ac:dyDescent="0.25">
      <c r="A81" s="84"/>
      <c r="B81" s="85"/>
      <c r="C81" s="85"/>
      <c r="D81" s="85"/>
      <c r="E81" s="85"/>
      <c r="F81" s="85"/>
      <c r="G81" s="85"/>
      <c r="H81" s="85"/>
      <c r="I81" s="85"/>
      <c r="J81" s="85"/>
      <c r="K81" s="85"/>
      <c r="L81" s="85"/>
      <c r="M81" s="85"/>
      <c r="N81" s="85"/>
      <c r="O81" s="95"/>
      <c r="P81" s="95"/>
      <c r="Q81" s="95"/>
      <c r="R81" s="95"/>
      <c r="S81" s="68"/>
      <c r="T81" s="96"/>
      <c r="U81" s="68"/>
    </row>
    <row r="82" spans="1:21" ht="13.5" customHeight="1" x14ac:dyDescent="0.25">
      <c r="A82" s="84"/>
      <c r="B82" s="85"/>
      <c r="C82" s="85"/>
      <c r="D82" s="85"/>
      <c r="E82" s="85"/>
      <c r="F82" s="85"/>
      <c r="G82" s="85"/>
      <c r="H82" s="85"/>
      <c r="I82" s="85"/>
      <c r="J82" s="85"/>
      <c r="K82" s="85"/>
      <c r="L82" s="85"/>
      <c r="M82" s="85"/>
      <c r="N82" s="85"/>
      <c r="O82" s="95"/>
      <c r="P82" s="95"/>
      <c r="Q82" s="95"/>
      <c r="R82" s="95"/>
      <c r="S82" s="68"/>
      <c r="T82" s="96"/>
      <c r="U82" s="68"/>
    </row>
    <row r="83" spans="1:21" ht="13.5" customHeight="1" x14ac:dyDescent="0.25">
      <c r="A83" s="84"/>
      <c r="B83" s="85"/>
      <c r="C83" s="85"/>
      <c r="D83" s="85"/>
      <c r="E83" s="85"/>
      <c r="F83" s="85"/>
      <c r="G83" s="85"/>
      <c r="H83" s="85"/>
      <c r="I83" s="85"/>
      <c r="J83" s="85"/>
      <c r="K83" s="85"/>
      <c r="L83" s="85"/>
      <c r="M83" s="85"/>
      <c r="N83" s="85"/>
      <c r="O83" s="95"/>
      <c r="P83" s="95"/>
      <c r="Q83" s="95"/>
      <c r="R83" s="95"/>
      <c r="S83" s="68"/>
      <c r="T83" s="96"/>
      <c r="U83" s="68"/>
    </row>
    <row r="84" spans="1:21" ht="13.5" customHeight="1" x14ac:dyDescent="0.25">
      <c r="A84" s="84"/>
      <c r="B84" s="85"/>
      <c r="C84" s="85"/>
      <c r="D84" s="85"/>
      <c r="E84" s="85"/>
      <c r="F84" s="85"/>
      <c r="G84" s="85"/>
      <c r="H84" s="85"/>
      <c r="I84" s="85"/>
      <c r="J84" s="85"/>
      <c r="K84" s="85"/>
      <c r="L84" s="85"/>
      <c r="M84" s="85"/>
      <c r="N84" s="85"/>
      <c r="O84" s="95"/>
      <c r="P84" s="95"/>
      <c r="Q84" s="95"/>
      <c r="R84" s="95"/>
      <c r="S84" s="68"/>
      <c r="T84" s="96"/>
      <c r="U84" s="68"/>
    </row>
    <row r="85" spans="1:21" ht="13.5" customHeight="1" x14ac:dyDescent="0.25">
      <c r="A85" s="84"/>
      <c r="B85" s="85"/>
      <c r="C85" s="85"/>
      <c r="D85" s="85"/>
      <c r="E85" s="85"/>
      <c r="F85" s="85"/>
      <c r="G85" s="85"/>
      <c r="H85" s="85"/>
      <c r="I85" s="85"/>
      <c r="J85" s="85"/>
      <c r="K85" s="85"/>
      <c r="L85" s="85"/>
      <c r="M85" s="85"/>
      <c r="N85" s="85"/>
      <c r="O85" s="95"/>
      <c r="P85" s="95"/>
      <c r="Q85" s="95"/>
      <c r="R85" s="95"/>
      <c r="S85" s="68"/>
      <c r="T85" s="96"/>
      <c r="U85" s="68"/>
    </row>
    <row r="86" spans="1:21" ht="6.75" customHeight="1" x14ac:dyDescent="0.3">
      <c r="A86" s="58"/>
      <c r="B86" s="58"/>
      <c r="C86" s="58"/>
      <c r="D86" s="58"/>
      <c r="E86" s="58"/>
      <c r="F86" s="58"/>
      <c r="G86" s="58"/>
      <c r="H86" s="58"/>
      <c r="I86" s="58"/>
      <c r="J86" s="58"/>
      <c r="K86" s="58"/>
      <c r="L86" s="58"/>
      <c r="M86" s="58"/>
      <c r="N86" s="58"/>
      <c r="O86" s="58"/>
      <c r="P86" s="58"/>
      <c r="Q86" s="58"/>
      <c r="R86" s="58"/>
      <c r="S86" s="58"/>
      <c r="T86" s="58"/>
      <c r="U86" s="58"/>
    </row>
    <row r="87" spans="1:21" ht="14" x14ac:dyDescent="0.3">
      <c r="A87" s="71"/>
      <c r="B87" s="72" t="s">
        <v>155</v>
      </c>
      <c r="C87" s="73"/>
      <c r="D87" s="73"/>
      <c r="E87" s="73"/>
      <c r="F87" s="73"/>
      <c r="G87" s="73"/>
      <c r="H87" s="73"/>
      <c r="I87" s="73"/>
      <c r="J87" s="73"/>
      <c r="K87" s="73"/>
      <c r="L87" s="73"/>
      <c r="M87" s="73"/>
      <c r="N87" s="73"/>
      <c r="O87" s="73"/>
      <c r="P87" s="73"/>
      <c r="Q87" s="73"/>
      <c r="R87" s="73"/>
      <c r="S87" s="73"/>
      <c r="T87" s="73"/>
      <c r="U87" s="74"/>
    </row>
    <row r="88" spans="1:21" ht="6.75" customHeight="1" x14ac:dyDescent="0.3">
      <c r="A88" s="75"/>
      <c r="B88" s="70"/>
      <c r="C88" s="70"/>
      <c r="D88" s="70"/>
      <c r="E88" s="70"/>
      <c r="F88" s="70"/>
      <c r="G88" s="70"/>
      <c r="H88" s="70"/>
      <c r="I88" s="70"/>
      <c r="J88" s="70"/>
      <c r="K88" s="70"/>
      <c r="L88" s="70"/>
      <c r="M88" s="70"/>
      <c r="N88" s="70"/>
      <c r="O88" s="70"/>
      <c r="P88" s="70"/>
      <c r="Q88" s="70"/>
      <c r="R88" s="70"/>
      <c r="S88" s="70"/>
      <c r="T88" s="70"/>
      <c r="U88" s="76"/>
    </row>
    <row r="89" spans="1:21" ht="14" x14ac:dyDescent="0.3">
      <c r="A89" s="75"/>
      <c r="B89" s="70"/>
      <c r="C89" s="77" t="s">
        <v>186</v>
      </c>
      <c r="D89" s="70"/>
      <c r="E89" s="70"/>
      <c r="F89" s="70"/>
      <c r="G89" s="70"/>
      <c r="H89" s="70"/>
      <c r="I89" s="70"/>
      <c r="J89" s="70"/>
      <c r="K89" s="77" t="s">
        <v>187</v>
      </c>
      <c r="L89" s="70"/>
      <c r="M89" s="70"/>
      <c r="N89" s="70"/>
      <c r="O89" s="70"/>
      <c r="P89" s="70"/>
      <c r="Q89" s="70"/>
      <c r="R89" s="77" t="s">
        <v>156</v>
      </c>
      <c r="S89" s="77"/>
      <c r="T89" s="77"/>
      <c r="U89" s="76"/>
    </row>
    <row r="90" spans="1:21" ht="14" x14ac:dyDescent="0.3">
      <c r="A90" s="283"/>
      <c r="B90" s="284"/>
      <c r="C90" s="70" t="s">
        <v>208</v>
      </c>
      <c r="D90" s="285"/>
      <c r="E90" s="1322"/>
      <c r="F90" s="1322"/>
      <c r="G90" s="1322"/>
      <c r="H90" s="285"/>
      <c r="I90" s="285"/>
      <c r="J90" s="284"/>
      <c r="K90" s="70" t="s">
        <v>210</v>
      </c>
      <c r="L90" s="285"/>
      <c r="M90" s="1322"/>
      <c r="N90" s="1322"/>
      <c r="O90" s="1322"/>
      <c r="P90" s="285"/>
      <c r="Q90" s="284"/>
      <c r="R90" s="70" t="s">
        <v>212</v>
      </c>
      <c r="S90" s="1322"/>
      <c r="T90" s="1322"/>
      <c r="U90" s="76"/>
    </row>
    <row r="91" spans="1:21" ht="14" x14ac:dyDescent="0.3">
      <c r="A91" s="283"/>
      <c r="B91" s="284"/>
      <c r="C91" s="70" t="s">
        <v>209</v>
      </c>
      <c r="D91" s="285"/>
      <c r="E91" s="1322"/>
      <c r="F91" s="1322"/>
      <c r="G91" s="1322"/>
      <c r="H91" s="285"/>
      <c r="I91" s="285"/>
      <c r="J91" s="284"/>
      <c r="K91" s="70" t="s">
        <v>211</v>
      </c>
      <c r="L91" s="285"/>
      <c r="M91" s="1322"/>
      <c r="N91" s="1322"/>
      <c r="O91" s="1322"/>
      <c r="P91" s="285"/>
      <c r="Q91" s="284"/>
      <c r="R91" s="70" t="s">
        <v>213</v>
      </c>
      <c r="S91" s="1323"/>
      <c r="T91" s="1323"/>
      <c r="U91" s="76"/>
    </row>
    <row r="92" spans="1:21" ht="14" x14ac:dyDescent="0.3">
      <c r="A92" s="283"/>
      <c r="B92" s="285"/>
      <c r="C92" s="285"/>
      <c r="D92" s="285"/>
      <c r="E92" s="285"/>
      <c r="F92" s="285"/>
      <c r="G92" s="285"/>
      <c r="H92" s="285"/>
      <c r="I92" s="285"/>
      <c r="J92" s="285"/>
      <c r="K92" s="285"/>
      <c r="L92" s="285"/>
      <c r="M92" s="285"/>
      <c r="N92" s="285"/>
      <c r="O92" s="285"/>
      <c r="P92" s="285"/>
      <c r="Q92" s="284"/>
      <c r="R92" s="70" t="s">
        <v>214</v>
      </c>
      <c r="S92" s="1323"/>
      <c r="T92" s="1323"/>
      <c r="U92" s="76"/>
    </row>
    <row r="93" spans="1:21" ht="6" customHeight="1" x14ac:dyDescent="0.3">
      <c r="A93" s="78"/>
      <c r="B93" s="79"/>
      <c r="C93" s="79"/>
      <c r="D93" s="79"/>
      <c r="E93" s="79"/>
      <c r="F93" s="79"/>
      <c r="G93" s="79"/>
      <c r="H93" s="79"/>
      <c r="I93" s="79"/>
      <c r="J93" s="79"/>
      <c r="K93" s="79"/>
      <c r="L93" s="79"/>
      <c r="M93" s="79"/>
      <c r="N93" s="79"/>
      <c r="O93" s="79"/>
      <c r="P93" s="79"/>
      <c r="Q93" s="79"/>
      <c r="R93" s="79"/>
      <c r="S93" s="79"/>
      <c r="T93" s="79"/>
      <c r="U93" s="80"/>
    </row>
    <row r="95" spans="1:21" x14ac:dyDescent="0.25">
      <c r="A95" s="1324" t="s">
        <v>159</v>
      </c>
      <c r="B95" s="1325"/>
      <c r="C95" s="1325"/>
      <c r="D95" s="1325"/>
      <c r="E95" s="1325"/>
      <c r="F95" s="1325"/>
      <c r="G95" s="1325"/>
      <c r="H95" s="1325"/>
      <c r="I95" s="1325"/>
      <c r="J95" s="1325"/>
      <c r="K95" s="1325"/>
      <c r="L95" s="1325"/>
      <c r="M95" s="1325"/>
      <c r="N95" s="1325"/>
      <c r="O95" s="1325"/>
      <c r="P95" s="1325"/>
      <c r="Q95" s="1325"/>
      <c r="R95" s="1325"/>
      <c r="S95" s="1325"/>
      <c r="T95" s="1325"/>
      <c r="U95" s="1326"/>
    </row>
    <row r="96" spans="1:21" x14ac:dyDescent="0.25">
      <c r="A96" s="1315" t="s">
        <v>158</v>
      </c>
      <c r="B96" s="1315"/>
      <c r="C96" s="1315"/>
      <c r="D96" s="1315"/>
      <c r="E96" s="1315"/>
      <c r="F96" s="1315"/>
      <c r="G96" s="1315"/>
      <c r="H96" s="1315"/>
      <c r="I96" s="1315" t="s">
        <v>157</v>
      </c>
      <c r="J96" s="1315"/>
      <c r="K96" s="1315"/>
      <c r="L96" s="1315"/>
      <c r="M96" s="1315"/>
      <c r="N96" s="1315"/>
      <c r="O96" s="1315"/>
      <c r="P96" s="1316" t="s">
        <v>205</v>
      </c>
      <c r="Q96" s="1316"/>
      <c r="R96" s="1316"/>
      <c r="S96" s="1316"/>
      <c r="T96" s="1316"/>
      <c r="U96" s="1316"/>
    </row>
    <row r="97" spans="1:21" ht="14" x14ac:dyDescent="0.3">
      <c r="A97" s="1183" t="str">
        <f>FORM!I46</f>
        <v>Brokerage/Realty</v>
      </c>
      <c r="B97" s="1183"/>
      <c r="C97" s="1183"/>
      <c r="D97" s="1183"/>
      <c r="E97" s="1183"/>
      <c r="F97" s="1183"/>
      <c r="G97" s="1183"/>
      <c r="H97" s="1183"/>
      <c r="I97" s="1184">
        <f>FORM!M46</f>
        <v>0</v>
      </c>
      <c r="J97" s="1184"/>
      <c r="K97" s="1184"/>
      <c r="L97" s="1184"/>
      <c r="M97" s="1184"/>
      <c r="N97" s="1184"/>
      <c r="O97" s="1184"/>
      <c r="P97" s="1184">
        <f>FORM!T46</f>
        <v>0</v>
      </c>
      <c r="Q97" s="1184"/>
      <c r="R97" s="1184"/>
      <c r="S97" s="1184"/>
      <c r="T97" s="1184"/>
      <c r="U97" s="1184"/>
    </row>
    <row r="98" spans="1:21" ht="14" x14ac:dyDescent="0.3">
      <c r="A98" s="1183" t="str">
        <f>FORM!I47</f>
        <v>Broker Head/AVP</v>
      </c>
      <c r="B98" s="1183"/>
      <c r="C98" s="1183"/>
      <c r="D98" s="1183"/>
      <c r="E98" s="1183"/>
      <c r="F98" s="1183"/>
      <c r="G98" s="1183"/>
      <c r="H98" s="1183"/>
      <c r="I98" s="1184">
        <f>FORM!M47</f>
        <v>0</v>
      </c>
      <c r="J98" s="1184"/>
      <c r="K98" s="1184"/>
      <c r="L98" s="1184"/>
      <c r="M98" s="1184"/>
      <c r="N98" s="1184"/>
      <c r="O98" s="1184"/>
      <c r="P98" s="1184">
        <f>FORM!T47</f>
        <v>0</v>
      </c>
      <c r="Q98" s="1184"/>
      <c r="R98" s="1184"/>
      <c r="S98" s="1184"/>
      <c r="T98" s="1184"/>
      <c r="U98" s="1184"/>
    </row>
    <row r="99" spans="1:21" ht="14" x14ac:dyDescent="0.3">
      <c r="A99" s="1183" t="str">
        <f>FORM!I48</f>
        <v>Sales Manager</v>
      </c>
      <c r="B99" s="1183"/>
      <c r="C99" s="1183"/>
      <c r="D99" s="1183"/>
      <c r="E99" s="1183"/>
      <c r="F99" s="1183"/>
      <c r="G99" s="1183"/>
      <c r="H99" s="1183"/>
      <c r="I99" s="1184">
        <f>FORM!M48</f>
        <v>0</v>
      </c>
      <c r="J99" s="1184"/>
      <c r="K99" s="1184"/>
      <c r="L99" s="1184"/>
      <c r="M99" s="1184"/>
      <c r="N99" s="1184"/>
      <c r="O99" s="1184"/>
      <c r="P99" s="1184">
        <f>FORM!T48</f>
        <v>0</v>
      </c>
      <c r="Q99" s="1184"/>
      <c r="R99" s="1184"/>
      <c r="S99" s="1184"/>
      <c r="T99" s="1184"/>
      <c r="U99" s="1184"/>
    </row>
    <row r="100" spans="1:21" ht="14" x14ac:dyDescent="0.3">
      <c r="A100" s="1183" t="str">
        <f>FORM!I49</f>
        <v xml:space="preserve">Sales Agent/Property Consultant </v>
      </c>
      <c r="B100" s="1183"/>
      <c r="C100" s="1183"/>
      <c r="D100" s="1183"/>
      <c r="E100" s="1183"/>
      <c r="F100" s="1183"/>
      <c r="G100" s="1183"/>
      <c r="H100" s="1183"/>
      <c r="I100" s="1184">
        <f>FORM!M49</f>
        <v>0</v>
      </c>
      <c r="J100" s="1184"/>
      <c r="K100" s="1184"/>
      <c r="L100" s="1184"/>
      <c r="M100" s="1184"/>
      <c r="N100" s="1184"/>
      <c r="O100" s="1184"/>
      <c r="P100" s="1184">
        <f>FORM!T49</f>
        <v>0</v>
      </c>
      <c r="Q100" s="1184"/>
      <c r="R100" s="1184"/>
      <c r="S100" s="1184"/>
      <c r="T100" s="1184"/>
      <c r="U100" s="1184"/>
    </row>
    <row r="102" spans="1:21" ht="14" x14ac:dyDescent="0.3">
      <c r="A102" s="1309" t="s">
        <v>226</v>
      </c>
      <c r="B102" s="1310"/>
      <c r="C102" s="1310"/>
      <c r="D102" s="1310"/>
      <c r="E102" s="1310"/>
      <c r="F102" s="1310"/>
      <c r="G102" s="1310"/>
      <c r="H102" s="1310"/>
      <c r="I102" s="1310"/>
      <c r="J102" s="1310"/>
      <c r="K102" s="1310"/>
      <c r="L102" s="1310"/>
      <c r="M102" s="1310"/>
      <c r="N102" s="1310"/>
      <c r="O102" s="1310"/>
      <c r="P102" s="1310"/>
      <c r="Q102" s="1310"/>
      <c r="R102" s="1310"/>
      <c r="S102" s="1310"/>
      <c r="T102" s="1310"/>
      <c r="U102" s="1310"/>
    </row>
    <row r="112" spans="1:21" x14ac:dyDescent="0.25">
      <c r="G112" s="33"/>
      <c r="H112" s="1311" t="str">
        <f>D3</f>
        <v>buyer</v>
      </c>
      <c r="I112" s="1311"/>
      <c r="J112" s="1311"/>
      <c r="K112" s="1311"/>
      <c r="L112" s="1311"/>
      <c r="M112" s="1311"/>
      <c r="N112" s="1311"/>
      <c r="O112" s="1311"/>
      <c r="P112" s="1311"/>
      <c r="Q112" s="1311"/>
    </row>
    <row r="113" spans="1:21" ht="25.5" customHeight="1" x14ac:dyDescent="0.25">
      <c r="A113" s="1312" t="s">
        <v>160</v>
      </c>
      <c r="B113" s="1312"/>
      <c r="C113" s="1312"/>
      <c r="D113" s="1312"/>
      <c r="E113" s="1312"/>
      <c r="F113" s="1312"/>
      <c r="G113" s="1312"/>
      <c r="H113" s="1312"/>
      <c r="I113" s="1312"/>
      <c r="J113" s="1312"/>
      <c r="K113" s="1312"/>
      <c r="L113" s="1312"/>
      <c r="M113" s="1312"/>
      <c r="N113" s="1312"/>
      <c r="O113" s="1312"/>
      <c r="P113" s="1312"/>
      <c r="Q113" s="1312"/>
      <c r="R113" s="1312"/>
      <c r="S113" s="1312"/>
      <c r="T113" s="1312"/>
      <c r="U113" s="1312"/>
    </row>
    <row r="114" spans="1:21" x14ac:dyDescent="0.25">
      <c r="A114" s="33"/>
      <c r="B114" s="33"/>
      <c r="C114" s="33"/>
      <c r="D114" s="33"/>
      <c r="E114" s="33"/>
      <c r="F114" s="33"/>
      <c r="G114" s="33"/>
      <c r="H114" s="33"/>
      <c r="I114" s="33"/>
      <c r="J114" s="33"/>
      <c r="K114" s="33"/>
      <c r="L114" s="33"/>
      <c r="M114" s="33"/>
      <c r="N114" s="33"/>
      <c r="O114" s="33"/>
      <c r="P114" s="33"/>
      <c r="Q114" s="33"/>
      <c r="R114" s="33"/>
      <c r="S114" s="33"/>
      <c r="T114" s="33"/>
      <c r="U114" s="33"/>
    </row>
    <row r="115" spans="1:21" x14ac:dyDescent="0.25">
      <c r="A115" s="33"/>
      <c r="B115" s="33"/>
      <c r="C115" s="33"/>
      <c r="D115" s="33"/>
      <c r="E115" s="33"/>
      <c r="F115" s="33"/>
      <c r="G115" s="33"/>
      <c r="H115" s="33"/>
      <c r="I115" s="33"/>
      <c r="J115" s="33"/>
      <c r="K115" s="33"/>
      <c r="L115" s="33"/>
      <c r="M115" s="33"/>
      <c r="N115" s="33"/>
      <c r="O115" s="33"/>
      <c r="P115" s="33"/>
      <c r="Q115" s="33"/>
      <c r="R115" s="33"/>
      <c r="S115" s="33"/>
      <c r="T115" s="33"/>
      <c r="U115" s="33"/>
    </row>
    <row r="116" spans="1:21" x14ac:dyDescent="0.25">
      <c r="A116" s="1313" t="s">
        <v>161</v>
      </c>
      <c r="B116" s="1313"/>
      <c r="C116" s="1313"/>
      <c r="D116" s="1313"/>
      <c r="E116" s="1313"/>
      <c r="F116" s="1313"/>
      <c r="G116" s="1313"/>
      <c r="H116" s="1313"/>
      <c r="I116" s="1313"/>
      <c r="J116" s="1313"/>
      <c r="K116" s="1313"/>
      <c r="L116" s="1313"/>
      <c r="M116" s="1313"/>
      <c r="N116" s="1313"/>
      <c r="O116" s="1313"/>
      <c r="P116" s="1313"/>
      <c r="Q116" s="1313"/>
      <c r="R116" s="1313"/>
      <c r="S116" s="1313"/>
      <c r="T116" s="1313"/>
      <c r="U116" s="1313"/>
    </row>
    <row r="117" spans="1:21" ht="21.75" customHeight="1" x14ac:dyDescent="0.25">
      <c r="A117" s="1314" t="str">
        <f>H8</f>
        <v>Iloilo Southprime Developers Inc.</v>
      </c>
      <c r="B117" s="1314"/>
      <c r="C117" s="1314"/>
      <c r="D117" s="1314"/>
      <c r="E117" s="1314"/>
      <c r="F117" s="1314"/>
      <c r="G117" s="1314"/>
      <c r="H117" s="1314"/>
      <c r="I117" s="1314"/>
      <c r="J117" s="1314"/>
      <c r="K117" s="1314"/>
      <c r="L117" s="1314"/>
      <c r="M117" s="1314"/>
      <c r="N117" s="1314"/>
      <c r="O117" s="1314"/>
      <c r="P117" s="1314"/>
      <c r="Q117" s="1314"/>
      <c r="R117" s="1314"/>
      <c r="S117" s="1314"/>
      <c r="T117" s="1314"/>
      <c r="U117" s="1314"/>
    </row>
    <row r="118" spans="1:21" x14ac:dyDescent="0.25">
      <c r="A118" s="33"/>
      <c r="B118" s="33"/>
      <c r="C118" s="33"/>
      <c r="D118" s="33"/>
      <c r="E118" s="33"/>
      <c r="F118" s="33"/>
      <c r="G118" s="33"/>
      <c r="H118" s="33"/>
      <c r="I118" s="33"/>
      <c r="J118" s="33"/>
      <c r="K118" s="33"/>
      <c r="L118" s="33"/>
      <c r="M118" s="33"/>
      <c r="N118" s="33"/>
      <c r="O118" s="33"/>
      <c r="P118" s="33"/>
      <c r="Q118" s="33"/>
      <c r="R118" s="33"/>
      <c r="S118" s="33"/>
      <c r="T118" s="33"/>
      <c r="U118" s="33"/>
    </row>
    <row r="119" spans="1:21" x14ac:dyDescent="0.25">
      <c r="A119" s="33"/>
      <c r="B119" s="33"/>
      <c r="C119" s="33"/>
      <c r="D119" s="33"/>
      <c r="E119" s="33"/>
      <c r="F119" s="33"/>
      <c r="G119" s="33"/>
      <c r="H119" s="34"/>
      <c r="I119" s="34"/>
      <c r="J119" s="34"/>
      <c r="K119" s="34"/>
      <c r="L119" s="34"/>
      <c r="M119" s="34"/>
      <c r="N119" s="34"/>
      <c r="O119" s="34"/>
      <c r="P119" s="34"/>
      <c r="Q119" s="34"/>
      <c r="R119" s="33"/>
      <c r="S119" s="33"/>
      <c r="T119" s="33"/>
      <c r="U119" s="33"/>
    </row>
    <row r="123" spans="1:21" x14ac:dyDescent="0.25">
      <c r="I123" s="63"/>
    </row>
  </sheetData>
  <sheetProtection sheet="1" selectLockedCells="1"/>
  <mergeCells count="70">
    <mergeCell ref="A10:P10"/>
    <mergeCell ref="D3:Q3"/>
    <mergeCell ref="A4:Q4"/>
    <mergeCell ref="A5:U6"/>
    <mergeCell ref="H8:O8"/>
    <mergeCell ref="A9:U9"/>
    <mergeCell ref="I11:U11"/>
    <mergeCell ref="M12:U12"/>
    <mergeCell ref="K13:U13"/>
    <mergeCell ref="E16:T16"/>
    <mergeCell ref="A20:F20"/>
    <mergeCell ref="G20:L20"/>
    <mergeCell ref="M20:Q20"/>
    <mergeCell ref="R20:U20"/>
    <mergeCell ref="D21:F21"/>
    <mergeCell ref="J21:L21"/>
    <mergeCell ref="P21:Q21"/>
    <mergeCell ref="T21:U21"/>
    <mergeCell ref="D22:F22"/>
    <mergeCell ref="J22:L22"/>
    <mergeCell ref="P22:Q22"/>
    <mergeCell ref="T22:U22"/>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A97:H97"/>
    <mergeCell ref="I97:O97"/>
    <mergeCell ref="P97:U97"/>
    <mergeCell ref="A98:H98"/>
    <mergeCell ref="I98:O98"/>
    <mergeCell ref="P98:U98"/>
    <mergeCell ref="A99:H99"/>
    <mergeCell ref="I99:O99"/>
    <mergeCell ref="P99:U99"/>
    <mergeCell ref="A100:H100"/>
    <mergeCell ref="I100:O100"/>
    <mergeCell ref="P100:U100"/>
    <mergeCell ref="A102:U102"/>
    <mergeCell ref="H112:Q112"/>
    <mergeCell ref="A113:U113"/>
    <mergeCell ref="A116:U116"/>
    <mergeCell ref="A117:U117"/>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475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4754" r:id="rId5" name="Check Box 2">
              <controlPr defaultSize="0" autoFill="0" autoLine="0" autoPict="0">
                <anchor moveWithCells="1">
                  <from>
                    <xdr:col>11</xdr:col>
                    <xdr:colOff>69850</xdr:colOff>
                    <xdr:row>35</xdr:row>
                    <xdr:rowOff>0</xdr:rowOff>
                  </from>
                  <to>
                    <xdr:col>11</xdr:col>
                    <xdr:colOff>298450</xdr:colOff>
                    <xdr:row>36</xdr:row>
                    <xdr:rowOff>12700</xdr:rowOff>
                  </to>
                </anchor>
              </controlPr>
            </control>
          </mc:Choice>
        </mc:AlternateContent>
        <mc:AlternateContent xmlns:mc="http://schemas.openxmlformats.org/markup-compatibility/2006">
          <mc:Choice Requires="x14">
            <control shapeId="7475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475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475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475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475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476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4761" r:id="rId12" name="Check Box 9">
              <controlPr defaultSize="0" autoFill="0" autoLine="0" autoPict="0">
                <anchor moveWithCells="1">
                  <from>
                    <xdr:col>8</xdr:col>
                    <xdr:colOff>406400</xdr:colOff>
                    <xdr:row>88</xdr:row>
                    <xdr:rowOff>0</xdr:rowOff>
                  </from>
                  <to>
                    <xdr:col>9</xdr:col>
                    <xdr:colOff>215900</xdr:colOff>
                    <xdr:row>89</xdr:row>
                    <xdr:rowOff>12700</xdr:rowOff>
                  </to>
                </anchor>
              </controlPr>
            </control>
          </mc:Choice>
        </mc:AlternateContent>
        <mc:AlternateContent xmlns:mc="http://schemas.openxmlformats.org/markup-compatibility/2006">
          <mc:Choice Requires="x14">
            <control shapeId="74762" r:id="rId13" name="Check Box 10">
              <controlPr defaultSize="0" autoFill="0" autoLine="0" autoPict="0">
                <anchor moveWithCells="1">
                  <from>
                    <xdr:col>16</xdr:col>
                    <xdr:colOff>139700</xdr:colOff>
                    <xdr:row>88</xdr:row>
                    <xdr:rowOff>0</xdr:rowOff>
                  </from>
                  <to>
                    <xdr:col>16</xdr:col>
                    <xdr:colOff>355600</xdr:colOff>
                    <xdr:row>89</xdr:row>
                    <xdr:rowOff>25400</xdr:rowOff>
                  </to>
                </anchor>
              </controlPr>
            </control>
          </mc:Choice>
        </mc:AlternateContent>
        <mc:AlternateContent xmlns:mc="http://schemas.openxmlformats.org/markup-compatibility/2006">
          <mc:Choice Requires="x14">
            <control shapeId="7476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476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476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476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476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476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476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477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477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9A57D1AED29941ACBF21D8C4A8CB3E" ma:contentTypeVersion="12" ma:contentTypeDescription="Create a new document." ma:contentTypeScope="" ma:versionID="aeee2e3529a51bdf47f9e0ca66f3fd99">
  <xsd:schema xmlns:xsd="http://www.w3.org/2001/XMLSchema" xmlns:xs="http://www.w3.org/2001/XMLSchema" xmlns:p="http://schemas.microsoft.com/office/2006/metadata/properties" xmlns:ns2="55966ea1-fe58-4218-b628-0018c859dab0" xmlns:ns3="48c94ed0-3c20-4b8e-8119-053507d1e0d0" targetNamespace="http://schemas.microsoft.com/office/2006/metadata/properties" ma:root="true" ma:fieldsID="a03ef8fd52fb47337656b0f69de359df" ns2:_="" ns3:_="">
    <xsd:import namespace="55966ea1-fe58-4218-b628-0018c859dab0"/>
    <xsd:import namespace="48c94ed0-3c20-4b8e-8119-053507d1e0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966ea1-fe58-4218-b628-0018c859da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3ecd6dd-7a73-4453-9500-d28893ef669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c94ed0-3c20-4b8e-8119-053507d1e0d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3de1ab-db7a-47b7-8840-27a09ebaf4c1}" ma:internalName="TaxCatchAll" ma:showField="CatchAllData" ma:web="48c94ed0-3c20-4b8e-8119-053507d1e0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5966ea1-fe58-4218-b628-0018c859dab0">
      <Terms xmlns="http://schemas.microsoft.com/office/infopath/2007/PartnerControls"/>
    </lcf76f155ced4ddcb4097134ff3c332f>
    <TaxCatchAll xmlns="48c94ed0-3c20-4b8e-8119-053507d1e0d0" xsi:nil="true"/>
  </documentManagement>
</p:properties>
</file>

<file path=customXml/itemProps1.xml><?xml version="1.0" encoding="utf-8"?>
<ds:datastoreItem xmlns:ds="http://schemas.openxmlformats.org/officeDocument/2006/customXml" ds:itemID="{7A95C59E-F386-4528-A8EB-1F11E4BBEF90}"/>
</file>

<file path=customXml/itemProps2.xml><?xml version="1.0" encoding="utf-8"?>
<ds:datastoreItem xmlns:ds="http://schemas.openxmlformats.org/officeDocument/2006/customXml" ds:itemID="{D10B7063-2F88-41B1-8F92-DF6687355777}"/>
</file>

<file path=customXml/itemProps3.xml><?xml version="1.0" encoding="utf-8"?>
<ds:datastoreItem xmlns:ds="http://schemas.openxmlformats.org/officeDocument/2006/customXml" ds:itemID="{D5640ED6-4BFE-4E25-99B4-986ABDF908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22</vt:i4>
      </vt:variant>
    </vt:vector>
  </HeadingPairs>
  <TitlesOfParts>
    <vt:vector size="47" baseType="lpstr">
      <vt:lpstr>Construction Sched 2023</vt:lpstr>
      <vt:lpstr>Corrected Internal_Parking B123</vt:lpstr>
      <vt:lpstr>INTERNAL PRICELIST</vt:lpstr>
      <vt:lpstr>RECOVERIES</vt:lpstr>
      <vt:lpstr>Pricelist Link</vt:lpstr>
      <vt:lpstr>FORM</vt:lpstr>
      <vt:lpstr>STANDARD COMP.</vt:lpstr>
      <vt:lpstr>STEP UP</vt:lpstr>
      <vt:lpstr>RA_Step Up</vt:lpstr>
      <vt:lpstr>STEP UP with Lumpsum</vt:lpstr>
      <vt:lpstr>2.5% Lumpsum</vt:lpstr>
      <vt:lpstr>RA_Standard</vt:lpstr>
      <vt:lpstr>SPOT EQUITY_7DAYS</vt:lpstr>
      <vt:lpstr>RA_SE7D</vt:lpstr>
      <vt:lpstr>SPOT EQUITY_30DAYS</vt:lpstr>
      <vt:lpstr>RA_SE30D</vt:lpstr>
      <vt:lpstr>SPOT CASH_30 DAYS</vt:lpstr>
      <vt:lpstr>RA_SC30D</vt:lpstr>
      <vt:lpstr>SPOT CASH_60 DAYS</vt:lpstr>
      <vt:lpstr>SPOT CASH_60 DAYS (2)</vt:lpstr>
      <vt:lpstr>RA_SC60D</vt:lpstr>
      <vt:lpstr>DEFERRED</vt:lpstr>
      <vt:lpstr>RA_Deferred</vt:lpstr>
      <vt:lpstr>SPECIAL PACKAGE</vt:lpstr>
      <vt:lpstr>RA_Special</vt:lpstr>
      <vt:lpstr>'2.5% Lumpsum'!pricelist</vt:lpstr>
      <vt:lpstr>pricelist</vt:lpstr>
      <vt:lpstr>'2.5% Lumpsum'!Print_Area</vt:lpstr>
      <vt:lpstr>DEFERRED!Print_Area</vt:lpstr>
      <vt:lpstr>'Pricelist Link'!Print_Area</vt:lpstr>
      <vt:lpstr>RA_Deferred!Print_Area</vt:lpstr>
      <vt:lpstr>RA_SC30D!Print_Area</vt:lpstr>
      <vt:lpstr>RA_SC60D!Print_Area</vt:lpstr>
      <vt:lpstr>RA_SE30D!Print_Area</vt:lpstr>
      <vt:lpstr>RA_SE7D!Print_Area</vt:lpstr>
      <vt:lpstr>RA_Special!Print_Area</vt:lpstr>
      <vt:lpstr>RA_Standard!Print_Area</vt:lpstr>
      <vt:lpstr>'RA_Step Up'!Print_Area</vt:lpstr>
      <vt:lpstr>'SPECIAL PACKAGE'!Print_Area</vt:lpstr>
      <vt:lpstr>'SPOT CASH_30 DAYS'!Print_Area</vt:lpstr>
      <vt:lpstr>'SPOT CASH_60 DAYS'!Print_Area</vt:lpstr>
      <vt:lpstr>'SPOT CASH_60 DAYS (2)'!Print_Area</vt:lpstr>
      <vt:lpstr>'SPOT EQUITY_30DAYS'!Print_Area</vt:lpstr>
      <vt:lpstr>'SPOT EQUITY_7DAYS'!Print_Area</vt:lpstr>
      <vt:lpstr>'STANDARD COMP.'!Print_Area</vt:lpstr>
      <vt:lpstr>'STEP UP'!Print_Area</vt:lpstr>
      <vt:lpstr>'STEP UP with Lumpsum'!Print_Area</vt:lpstr>
    </vt:vector>
  </TitlesOfParts>
  <Company>Excel-4-Business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Randy Austin</dc:creator>
  <cp:lastModifiedBy>Charmaine Mae M. Mana-ay</cp:lastModifiedBy>
  <cp:lastPrinted>2025-05-30T07:19:27Z</cp:lastPrinted>
  <dcterms:created xsi:type="dcterms:W3CDTF">2017-11-07T00:37:58Z</dcterms:created>
  <dcterms:modified xsi:type="dcterms:W3CDTF">2025-09-01T08:38:48Z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0x010100BF9A57D1AED29941ACBF21D8C4A8CB3E</vt:lpwstr>
  </property>
</Properties>
</file>